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0"/>
  </bookViews>
  <sheets>
    <sheet name="Cac lớp thường" sheetId="1" r:id="rId1"/>
    <sheet name="CLC" sheetId="2" r:id="rId2"/>
    <sheet name="K54,K55,K56,57 QTKD" sheetId="3" r:id="rId3"/>
  </sheets>
  <definedNames>
    <definedName name="_xlnm._FilterDatabase" localSheetId="0" hidden="1">'Cac lớp thường'!$A$5:$K$116</definedName>
    <definedName name="_xlnm._FilterDatabase" localSheetId="1" hidden="1">'CLC'!$A$6:$J$27</definedName>
    <definedName name="_xlnm._FilterDatabase" localSheetId="2" hidden="1">'K54,K55,K56,57 QTKD'!$A$6:$I$36</definedName>
    <definedName name="_xlnm.Print_Titles" localSheetId="0">'Cac lớp thường'!$4:$5</definedName>
    <definedName name="_xlnm.Print_Titles" localSheetId="2">'K54,K55,K56,57 QTKD'!$5:$6</definedName>
  </definedNames>
  <calcPr fullCalcOnLoad="1"/>
</workbook>
</file>

<file path=xl/comments1.xml><?xml version="1.0" encoding="utf-8"?>
<comments xmlns="http://schemas.openxmlformats.org/spreadsheetml/2006/main">
  <authors>
    <author>3C</author>
  </authors>
  <commentList>
    <comment ref="D42" authorId="0">
      <text>
        <r>
          <rPr>
            <b/>
            <sz val="8"/>
            <rFont val="Tahoma"/>
            <family val="2"/>
          </rPr>
          <t>3C: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<sst xmlns="http://schemas.openxmlformats.org/spreadsheetml/2006/main" count="516" uniqueCount="213">
  <si>
    <t>  STT</t>
  </si>
  <si>
    <t>Họ tên</t>
  </si>
  <si>
    <t>Ngày sinh</t>
  </si>
  <si>
    <t>Loại học bổng</t>
  </si>
  <si>
    <t>Tổng số tiền được nhận (5 tháng)</t>
  </si>
  <si>
    <t>Lớp</t>
  </si>
  <si>
    <t>Mức học bổng</t>
  </si>
  <si>
    <t>Tổng:</t>
  </si>
  <si>
    <t>Ghi chú</t>
  </si>
  <si>
    <t>Mã sinh viên</t>
  </si>
  <si>
    <t>C</t>
  </si>
  <si>
    <t>B</t>
  </si>
  <si>
    <t>A</t>
  </si>
  <si>
    <t>Mã SV</t>
  </si>
  <si>
    <t>Tổng số tiền được nhận 
(5 tháng)</t>
  </si>
  <si>
    <t>QH-2009-E KTĐN</t>
  </si>
  <si>
    <t>Nguyễn Thùy Trang</t>
  </si>
  <si>
    <t>QH-2009-E KTCT</t>
  </si>
  <si>
    <t>Nguyễn Thị Thu Thuỷ</t>
  </si>
  <si>
    <t>Ngô Mỹ Hoa</t>
  </si>
  <si>
    <t>QH-2009-E KTPT</t>
  </si>
  <si>
    <t>Mai Thị Vân</t>
  </si>
  <si>
    <t>Đỗ Thị Dung</t>
  </si>
  <si>
    <t>Nguyễn Thị Vân Anh</t>
  </si>
  <si>
    <t>Trần Thanh Vân</t>
  </si>
  <si>
    <t>Nguyễn Thị Hường</t>
  </si>
  <si>
    <t>QH-2009-E TCNH</t>
  </si>
  <si>
    <t>Đào Thị Thuý</t>
  </si>
  <si>
    <t>Đinh Thị Kiều Trang</t>
  </si>
  <si>
    <t>Trần Thị Phương</t>
  </si>
  <si>
    <t>Nguyễn Văn Tá</t>
  </si>
  <si>
    <t>Phạm Thị Thanh Thuỷ</t>
  </si>
  <si>
    <t>Lý Thị Thơm</t>
  </si>
  <si>
    <t>Đặng Thị Tuyến</t>
  </si>
  <si>
    <t>Phùng Đức Quyền</t>
  </si>
  <si>
    <t>QH-2009-E TCNH-TA</t>
  </si>
  <si>
    <t>Đàm Thị Mai Hương</t>
  </si>
  <si>
    <t>QH-2010-E KETOAN</t>
  </si>
  <si>
    <t>Trần Thị Loan</t>
  </si>
  <si>
    <t>Vũ Thị Hương Giang</t>
  </si>
  <si>
    <t>Nguyễn Thị Diễm My</t>
  </si>
  <si>
    <t>QH-2010-E KTĐN</t>
  </si>
  <si>
    <t>Phùng Thị Phương Mai</t>
  </si>
  <si>
    <t>Nguyễn Thị Tuyết</t>
  </si>
  <si>
    <t>Nguyễn Thị Thu Trang</t>
  </si>
  <si>
    <t>Trần Thị Hiền Lương</t>
  </si>
  <si>
    <t>QH-2010-E KTCT</t>
  </si>
  <si>
    <t>Nguyễn Thị Thanh Nga</t>
  </si>
  <si>
    <t>QH-2010-E KTPT</t>
  </si>
  <si>
    <t>Hà Hiểu Huế</t>
  </si>
  <si>
    <t>Nguyễn Thị Huyền</t>
  </si>
  <si>
    <t>Dương Hồng Duyên</t>
  </si>
  <si>
    <t>Phùng Thị Mỹ vân</t>
  </si>
  <si>
    <t>Lương Trâm Anh</t>
  </si>
  <si>
    <t>QH-2010-E TCNH</t>
  </si>
  <si>
    <t>Đào Thu Thuỷ</t>
  </si>
  <si>
    <t>Phùng Thị ánh Minh</t>
  </si>
  <si>
    <t>Nguyễn Thị Kim Hoa</t>
  </si>
  <si>
    <t>Trần Thị Thanh Hà</t>
  </si>
  <si>
    <t>Nguyễn Hữu Thọ</t>
  </si>
  <si>
    <t>Nguyễn Thị Hiền</t>
  </si>
  <si>
    <t>Lê Khánh Hương</t>
  </si>
  <si>
    <t>Hoàng Minh Hải</t>
  </si>
  <si>
    <t>Vương Kiều Trang</t>
  </si>
  <si>
    <t>QH-2011-E KETOAN</t>
  </si>
  <si>
    <t>Trần Thị Hằng</t>
  </si>
  <si>
    <t>Phạm Thị Hương Thơm</t>
  </si>
  <si>
    <t>Võ Thị Bích Ngọc</t>
  </si>
  <si>
    <t>Nguyễn Thuỳ Ninh</t>
  </si>
  <si>
    <t>QH-2011-E KINHTE</t>
  </si>
  <si>
    <t>Lê Thị Nga</t>
  </si>
  <si>
    <t>Phùng Thị Thuý Hằng</t>
  </si>
  <si>
    <t>Phạm Thị Thủy</t>
  </si>
  <si>
    <t>Nguyễn Phương Trang</t>
  </si>
  <si>
    <t>Nguyễn Thuý Nhị</t>
  </si>
  <si>
    <t>QH-2011-E KTPT</t>
  </si>
  <si>
    <t>Đỗ Thị Thu Hằng</t>
  </si>
  <si>
    <t>Trần Thị Thanh Hải</t>
  </si>
  <si>
    <t>Nguyễn Thị Hương</t>
  </si>
  <si>
    <t>Nguyễn Thị Quỳnh Anh</t>
  </si>
  <si>
    <t>Phạm Thị Khánh Linh</t>
  </si>
  <si>
    <t>QH-2011-E KTQT</t>
  </si>
  <si>
    <t>Phạm Minh Phương</t>
  </si>
  <si>
    <t>Nguyễn Thị Huyền Trang</t>
  </si>
  <si>
    <t>Hà Thị Lan Hương</t>
  </si>
  <si>
    <t>Thạc Thu Trang</t>
  </si>
  <si>
    <t>Nguyễn Thị Kiều Hương</t>
  </si>
  <si>
    <t>Bùi Thị Hương Lan</t>
  </si>
  <si>
    <t>QH-2011-E TCNH</t>
  </si>
  <si>
    <t>Trịnh Phương Thảo</t>
  </si>
  <si>
    <t>Đinh Thị Thu Trang</t>
  </si>
  <si>
    <t>Trác Thị Thủy</t>
  </si>
  <si>
    <t>Quách Thị Mai</t>
  </si>
  <si>
    <t>Hoàng Thị Mị</t>
  </si>
  <si>
    <t>Ninh Thị Yến</t>
  </si>
  <si>
    <t>QH-2012-E KETOAN</t>
  </si>
  <si>
    <t>Nguyễn Thị Tuyết Chinh</t>
  </si>
  <si>
    <t>Nguyễn Thị Thu Hường</t>
  </si>
  <si>
    <t>Nông Thị Anh Chi</t>
  </si>
  <si>
    <t>Trần Quý Hạnh</t>
  </si>
  <si>
    <t>Trần Thị Thương</t>
  </si>
  <si>
    <t>Nguyễn Hải Đăng</t>
  </si>
  <si>
    <t>QH-2012-E KINHTE</t>
  </si>
  <si>
    <t>Trần Tố Dung</t>
  </si>
  <si>
    <t>Trần Thị Chinh</t>
  </si>
  <si>
    <t>Mai Thị Vân Anh</t>
  </si>
  <si>
    <t>Dương Minh Thuận</t>
  </si>
  <si>
    <t>QH-2012-E KTPT</t>
  </si>
  <si>
    <t>Phạm Thị Thu Hiền</t>
  </si>
  <si>
    <t>Ngô Thị Bích Quyên</t>
  </si>
  <si>
    <t>Nguyễn Huy Hoàng</t>
  </si>
  <si>
    <t>Nguyễn Mai Hương</t>
  </si>
  <si>
    <t>Đỗ Thị Thuý Ngọc</t>
  </si>
  <si>
    <t>Vũ Thị Thuỷ</t>
  </si>
  <si>
    <t>Vương Thanh Giang</t>
  </si>
  <si>
    <t>Chu Hương Thảo</t>
  </si>
  <si>
    <t>QH-2012-E KTQT</t>
  </si>
  <si>
    <t>Vũ Thị Mai Anh</t>
  </si>
  <si>
    <t>Nguyễn Thành Khôi</t>
  </si>
  <si>
    <t>Nguyễn Thị Lệ</t>
  </si>
  <si>
    <t>Dương Thị Hương Liên</t>
  </si>
  <si>
    <t>QH-2012-E TCNH</t>
  </si>
  <si>
    <t>Nguyễn Mạnh Thắng</t>
  </si>
  <si>
    <t>Ngô Thu Hằng</t>
  </si>
  <si>
    <t>Vũ Văn Đức</t>
  </si>
  <si>
    <t>Nguyễn Xuyến Chi</t>
  </si>
  <si>
    <t>Lê Bá Khánh Linh</t>
  </si>
  <si>
    <t>Nguyễn Thị Liên</t>
  </si>
  <si>
    <t>Đỗ Thị Hải Yến</t>
  </si>
  <si>
    <t>Nguyễn Thị Phương Thúy</t>
  </si>
  <si>
    <t>Nguyễn Thị Hồng Nhung</t>
  </si>
  <si>
    <t>Lê Ngọc Thành</t>
  </si>
  <si>
    <t>Hoàng Anh Phương</t>
  </si>
  <si>
    <t>Nguyễn Mai Oanh</t>
  </si>
  <si>
    <t>Hán Phượng Uyên</t>
  </si>
  <si>
    <t>Nguyễn Thị Phương</t>
  </si>
  <si>
    <t>Vũ Thị Kim Phượng</t>
  </si>
  <si>
    <t>Vũ Thị Thu Hương</t>
  </si>
  <si>
    <t>Nguyễn Thị Nhung</t>
  </si>
  <si>
    <t>Bạch Thị Thanh Thanh</t>
  </si>
  <si>
    <t>Vũ Thị Tươi</t>
  </si>
  <si>
    <t>HỌC KỲ I NĂM HỌC 2012 - 2013 HỆ CHUẨN</t>
  </si>
  <si>
    <t>Phạm Hà My</t>
  </si>
  <si>
    <t>QH-2009-E KTĐN-CLC</t>
  </si>
  <si>
    <t>Nguyễn Thu Huyền</t>
  </si>
  <si>
    <t>Hoàng Huyền Ngọc</t>
  </si>
  <si>
    <t>QH-2010-E KTĐN-CLC</t>
  </si>
  <si>
    <t>Vũ Thị Hiền Thu</t>
  </si>
  <si>
    <t>Nguyễn Thị Nhung Anh</t>
  </si>
  <si>
    <t>Nguyễn Thị Thiên Duyên</t>
  </si>
  <si>
    <t>QH-2011-E KTQT-CLC</t>
  </si>
  <si>
    <t>Nguyễn Hoàng Diệu</t>
  </si>
  <si>
    <t>Đàm Thị Thảo</t>
  </si>
  <si>
    <t>Đỗ Mai Hương</t>
  </si>
  <si>
    <t>QH-2011-E TCNH-CLC</t>
  </si>
  <si>
    <t>Lý Thu Thảo</t>
  </si>
  <si>
    <t>Nguyễn Hồng Nhung</t>
  </si>
  <si>
    <t>Bùi Thị Nga</t>
  </si>
  <si>
    <t>Đinh Xuân Chung</t>
  </si>
  <si>
    <t>QH-2012-E KTQT-CLC</t>
  </si>
  <si>
    <t>Bùi Thị Huyền</t>
  </si>
  <si>
    <t>Hoàng Thị Hải Yến</t>
  </si>
  <si>
    <t>Tạ Thúy Lan</t>
  </si>
  <si>
    <t>Đào Phương Đông</t>
  </si>
  <si>
    <t>QH-2012-E TCNH-CLC</t>
  </si>
  <si>
    <t>Lê Thị Minh Phương</t>
  </si>
  <si>
    <t>Nguyễn Thị Trang</t>
  </si>
  <si>
    <t>Dương Ngọc Anh</t>
  </si>
  <si>
    <t>QH-2009-E QTKD</t>
  </si>
  <si>
    <t>Nguyễn Thị Thu Hoài</t>
  </si>
  <si>
    <t>Vũ Thị Thảo</t>
  </si>
  <si>
    <t>Nguyễn Thanh Tú</t>
  </si>
  <si>
    <t>Trương Thị Dinh</t>
  </si>
  <si>
    <t>Dương Thị Thu Thủy</t>
  </si>
  <si>
    <t>Nguyễn Lê Hoa</t>
  </si>
  <si>
    <t>Phạm Quốc Việt</t>
  </si>
  <si>
    <t>QH-2010-E QTKD</t>
  </si>
  <si>
    <t>Nguyễn Thị Linh Chi</t>
  </si>
  <si>
    <t>Nguyễn Bá Hưng</t>
  </si>
  <si>
    <t>Nguyễn Phương Anh</t>
  </si>
  <si>
    <t>Đào Ngọc Thư</t>
  </si>
  <si>
    <t>QH-2012-E QTKD</t>
  </si>
  <si>
    <t>Phùng Thị Xuân Hương</t>
  </si>
  <si>
    <t>Nguyễn Phương Hoa</t>
  </si>
  <si>
    <t>Nguyễn Huyền Trang</t>
  </si>
  <si>
    <t>Trịnh Quang Vinh</t>
  </si>
  <si>
    <t>Trần Anh Kiên</t>
  </si>
  <si>
    <t>Sầm Cảnh Việt Hùng</t>
  </si>
  <si>
    <t>Nguyễn Như Thế Anh</t>
  </si>
  <si>
    <t>QH-2011-E QTKD</t>
  </si>
  <si>
    <t>Nguyễn Đại Cương</t>
  </si>
  <si>
    <t>Hoàng Thị Chang</t>
  </si>
  <si>
    <t>Hồ Thị Ngọc</t>
  </si>
  <si>
    <t>Nguyễn Thị Thảo Ly</t>
  </si>
  <si>
    <t>Lê Thị Phương Thảo</t>
  </si>
  <si>
    <t>Nguyễn Hoàng Long</t>
  </si>
  <si>
    <t>HỌC KỲ I NĂM HỌC 2012 - 2013 HỆ ĐẠT TRÌNH ĐỘ QUỐC TẾ</t>
  </si>
  <si>
    <t>HỌC KỲ I NĂM HỌC 2012 - 2013 HỆ CHẤT LƯỢNG CAO</t>
  </si>
  <si>
    <t>Bằng chữ: Năm bảy triệu một trăm nghìn đồng.</t>
  </si>
  <si>
    <t>Trần Thị Tân</t>
  </si>
  <si>
    <t>Trần Thị Lan Anh</t>
  </si>
  <si>
    <t>Vũ Lê Mai</t>
  </si>
  <si>
    <t xml:space="preserve"> DANH SÁCH SINH VIÊN ĐƯỢC CẤP HỌC BỔNG KHUYẾN KHÍCH HỌC TẬP</t>
  </si>
  <si>
    <t>Bằng chữ: Hai trăm bốn ba triệu bốn trăm năm mươi nghìn đồng.</t>
  </si>
  <si>
    <t>DANH SÁCH SINH VIÊN ĐƯỢC NHẬN HỌC BỔNG KHUYẾN KHÍCH HỌC TẬP</t>
  </si>
  <si>
    <t>Nguyễn Minh Hương</t>
  </si>
  <si>
    <t>Bằng chữ: Một trăm mười bảy triệu tám trăm nghìn đồng.</t>
  </si>
  <si>
    <t>Điểm TBCHT học kỳ I năm học 2012 - 2013</t>
  </si>
  <si>
    <t>ĐRL học kỳ I năm học 2012-2013</t>
  </si>
  <si>
    <t>ĐRL học kỳ I năm học
 2012-2013</t>
  </si>
  <si>
    <t>(Kèm theo Quyết định số  1010  /QĐ-ĐHKT ngày 27   tháng    5     năm 2013)</t>
  </si>
  <si>
    <t>(Kèm theo Quyết định số      1010       /QĐ-ĐHKT ngày    27   tháng       5   năm 2013)</t>
  </si>
  <si>
    <t>(Kèm theo Quyết định số:       1010    /QĐ-ĐHKT ngày   27    tháng   5     năm 2013)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</si>
</sst>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mmm\-yyyy"/>
    <numFmt numFmtId="171" formatCode="0.0"/>
  </numFmts>
  <fonts count="5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64" fontId="6" fillId="33" borderId="10" xfId="42" applyNumberFormat="1" applyFont="1" applyFill="1" applyBorder="1" applyAlignment="1">
      <alignment horizontal="right" wrapText="1"/>
    </xf>
    <xf numFmtId="164" fontId="6" fillId="33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2" xfId="0" applyNumberFormat="1" applyFont="1" applyBorder="1" applyAlignment="1">
      <alignment vertical="center" wrapText="1"/>
    </xf>
    <xf numFmtId="164" fontId="6" fillId="0" borderId="12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164" fontId="6" fillId="33" borderId="13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center" wrapText="1"/>
    </xf>
    <xf numFmtId="0" fontId="14" fillId="33" borderId="14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left" wrapText="1"/>
    </xf>
    <xf numFmtId="0" fontId="14" fillId="33" borderId="14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164" fontId="9" fillId="0" borderId="15" xfId="0" applyNumberFormat="1" applyFont="1" applyBorder="1" applyAlignment="1">
      <alignment horizontal="center" wrapText="1"/>
    </xf>
    <xf numFmtId="164" fontId="9" fillId="0" borderId="16" xfId="42" applyNumberFormat="1" applyFont="1" applyBorder="1" applyAlignment="1">
      <alignment horizontal="center" wrapText="1"/>
    </xf>
    <xf numFmtId="0" fontId="14" fillId="33" borderId="17" xfId="0" applyFont="1" applyFill="1" applyBorder="1" applyAlignment="1">
      <alignment horizontal="left" wrapText="1"/>
    </xf>
    <xf numFmtId="0" fontId="14" fillId="33" borderId="17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left" wrapText="1"/>
    </xf>
    <xf numFmtId="0" fontId="14" fillId="0" borderId="17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4" fontId="14" fillId="33" borderId="14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left" wrapText="1"/>
    </xf>
    <xf numFmtId="0" fontId="15" fillId="0" borderId="14" xfId="0" applyFont="1" applyBorder="1" applyAlignment="1">
      <alignment wrapText="1"/>
    </xf>
    <xf numFmtId="0" fontId="15" fillId="0" borderId="14" xfId="0" applyFont="1" applyBorder="1" applyAlignment="1">
      <alignment horizontal="center" wrapText="1"/>
    </xf>
    <xf numFmtId="14" fontId="15" fillId="0" borderId="14" xfId="0" applyNumberFormat="1" applyFont="1" applyBorder="1" applyAlignment="1">
      <alignment horizontal="center"/>
    </xf>
    <xf numFmtId="164" fontId="6" fillId="33" borderId="13" xfId="0" applyNumberFormat="1" applyFont="1" applyFill="1" applyBorder="1" applyAlignment="1">
      <alignment horizontal="right" wrapText="1"/>
    </xf>
    <xf numFmtId="164" fontId="6" fillId="33" borderId="12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72</xdr:row>
      <xdr:rowOff>0</xdr:rowOff>
    </xdr:from>
    <xdr:to>
      <xdr:col>9</xdr:col>
      <xdr:colOff>857250</xdr:colOff>
      <xdr:row>73</xdr:row>
      <xdr:rowOff>66675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5287625"/>
          <a:ext cx="1638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72</xdr:row>
      <xdr:rowOff>0</xdr:rowOff>
    </xdr:from>
    <xdr:to>
      <xdr:col>9</xdr:col>
      <xdr:colOff>257175</xdr:colOff>
      <xdr:row>73</xdr:row>
      <xdr:rowOff>85725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152876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72</xdr:row>
      <xdr:rowOff>0</xdr:rowOff>
    </xdr:from>
    <xdr:to>
      <xdr:col>11</xdr:col>
      <xdr:colOff>104775</xdr:colOff>
      <xdr:row>73</xdr:row>
      <xdr:rowOff>66675</xdr:rowOff>
    </xdr:to>
    <xdr:pic>
      <xdr:nvPicPr>
        <xdr:cNvPr id="3" name="Picture 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15287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16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4.00390625" style="2" customWidth="1"/>
    <col min="2" max="2" width="11.57421875" style="2" customWidth="1"/>
    <col min="3" max="3" width="24.57421875" style="2" customWidth="1"/>
    <col min="4" max="4" width="12.7109375" style="2" customWidth="1"/>
    <col min="5" max="5" width="21.421875" style="2" customWidth="1"/>
    <col min="6" max="6" width="12.28125" style="2" customWidth="1"/>
    <col min="7" max="7" width="9.7109375" style="2" customWidth="1"/>
    <col min="8" max="8" width="8.8515625" style="2" customWidth="1"/>
    <col min="9" max="9" width="11.28125" style="2" customWidth="1"/>
    <col min="10" max="10" width="15.28125" style="2" customWidth="1"/>
    <col min="11" max="11" width="13.00390625" style="2" customWidth="1"/>
    <col min="12" max="16384" width="9.140625" style="2" customWidth="1"/>
  </cols>
  <sheetData>
    <row r="1" spans="1:10" ht="21.75" customHeight="1">
      <c r="A1" s="3" t="s">
        <v>202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" t="s">
        <v>141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6" t="s">
        <v>212</v>
      </c>
      <c r="B3" s="6"/>
      <c r="C3" s="6"/>
      <c r="D3" s="6"/>
      <c r="E3" s="6"/>
      <c r="F3" s="6"/>
      <c r="G3" s="6"/>
      <c r="H3" s="6"/>
      <c r="I3" s="6"/>
      <c r="J3" s="6"/>
    </row>
    <row r="4" spans="1:11" s="19" customFormat="1" ht="12" customHeight="1">
      <c r="A4" s="65" t="s">
        <v>0</v>
      </c>
      <c r="B4" s="63" t="s">
        <v>13</v>
      </c>
      <c r="C4" s="63" t="s">
        <v>1</v>
      </c>
      <c r="D4" s="63" t="s">
        <v>2</v>
      </c>
      <c r="E4" s="63" t="s">
        <v>5</v>
      </c>
      <c r="F4" s="63" t="s">
        <v>207</v>
      </c>
      <c r="G4" s="63" t="s">
        <v>208</v>
      </c>
      <c r="H4" s="63" t="s">
        <v>3</v>
      </c>
      <c r="I4" s="63" t="s">
        <v>6</v>
      </c>
      <c r="J4" s="68" t="s">
        <v>4</v>
      </c>
      <c r="K4" s="67" t="s">
        <v>8</v>
      </c>
    </row>
    <row r="5" spans="1:11" s="19" customFormat="1" ht="31.5" customHeight="1">
      <c r="A5" s="66"/>
      <c r="B5" s="64"/>
      <c r="C5" s="64"/>
      <c r="D5" s="64"/>
      <c r="E5" s="64"/>
      <c r="F5" s="64"/>
      <c r="G5" s="64"/>
      <c r="H5" s="64"/>
      <c r="I5" s="64"/>
      <c r="J5" s="69"/>
      <c r="K5" s="67"/>
    </row>
    <row r="6" spans="1:11" s="7" customFormat="1" ht="18" customHeight="1">
      <c r="A6" s="16">
        <v>1</v>
      </c>
      <c r="B6" s="32" t="str">
        <f>RIGHT("a09050120",LEN("a09050120")-1)</f>
        <v>09050120</v>
      </c>
      <c r="C6" s="33" t="s">
        <v>16</v>
      </c>
      <c r="D6" s="32" t="str">
        <f>RIGHT("a12/09/1991",LEN("a12/09/1991")-1)</f>
        <v>12/09/1991</v>
      </c>
      <c r="E6" s="34" t="s">
        <v>15</v>
      </c>
      <c r="F6" s="34">
        <v>3.88</v>
      </c>
      <c r="G6" s="34">
        <v>91</v>
      </c>
      <c r="H6" s="34" t="s">
        <v>12</v>
      </c>
      <c r="I6" s="17">
        <v>480000</v>
      </c>
      <c r="J6" s="18">
        <f>I6*5</f>
        <v>2400000</v>
      </c>
      <c r="K6" s="20"/>
    </row>
    <row r="7" spans="1:11" s="7" customFormat="1" ht="18" customHeight="1">
      <c r="A7" s="16">
        <v>2</v>
      </c>
      <c r="B7" s="32" t="str">
        <f>RIGHT("a09050113",LEN("a09050113")-1)</f>
        <v>09050113</v>
      </c>
      <c r="C7" s="33" t="s">
        <v>129</v>
      </c>
      <c r="D7" s="32" t="str">
        <f>RIGHT("a22/10/1990",LEN("a22/10/1990")-1)</f>
        <v>22/10/1990</v>
      </c>
      <c r="E7" s="34" t="s">
        <v>15</v>
      </c>
      <c r="F7" s="34">
        <v>3.63</v>
      </c>
      <c r="G7" s="34">
        <v>81</v>
      </c>
      <c r="H7" s="34" t="s">
        <v>11</v>
      </c>
      <c r="I7" s="17">
        <v>450000</v>
      </c>
      <c r="J7" s="18">
        <f aca="true" t="shared" si="0" ref="J7:J71">I7*5</f>
        <v>2250000</v>
      </c>
      <c r="K7" s="20"/>
    </row>
    <row r="8" spans="1:11" s="7" customFormat="1" ht="18" customHeight="1">
      <c r="A8" s="16">
        <v>3</v>
      </c>
      <c r="B8" s="32" t="str">
        <f>RIGHT("a09050080",LEN("a09050080")-1)</f>
        <v>09050080</v>
      </c>
      <c r="C8" s="33" t="s">
        <v>130</v>
      </c>
      <c r="D8" s="32" t="str">
        <f>RIGHT("a28/11/1991",LEN("a28/11/1991")-1)</f>
        <v>28/11/1991</v>
      </c>
      <c r="E8" s="34" t="s">
        <v>15</v>
      </c>
      <c r="F8" s="34">
        <v>3.62</v>
      </c>
      <c r="G8" s="34">
        <v>91</v>
      </c>
      <c r="H8" s="34" t="s">
        <v>12</v>
      </c>
      <c r="I8" s="17">
        <v>480000</v>
      </c>
      <c r="J8" s="18">
        <f t="shared" si="0"/>
        <v>2400000</v>
      </c>
      <c r="K8" s="20"/>
    </row>
    <row r="9" spans="1:11" s="7" customFormat="1" ht="18" customHeight="1">
      <c r="A9" s="16">
        <v>4</v>
      </c>
      <c r="B9" s="32" t="str">
        <f>RIGHT("a09050104",LEN("a09050104")-1)</f>
        <v>09050104</v>
      </c>
      <c r="C9" s="33" t="s">
        <v>131</v>
      </c>
      <c r="D9" s="32" t="str">
        <f>RIGHT("a27/02/1991",LEN("a27/02/1991")-1)</f>
        <v>27/02/1991</v>
      </c>
      <c r="E9" s="34" t="s">
        <v>15</v>
      </c>
      <c r="F9" s="34">
        <v>3.62</v>
      </c>
      <c r="G9" s="34">
        <v>91</v>
      </c>
      <c r="H9" s="34" t="s">
        <v>12</v>
      </c>
      <c r="I9" s="17">
        <v>480000</v>
      </c>
      <c r="J9" s="18">
        <f t="shared" si="0"/>
        <v>2400000</v>
      </c>
      <c r="K9" s="20"/>
    </row>
    <row r="10" spans="1:11" s="7" customFormat="1" ht="18" customHeight="1">
      <c r="A10" s="16">
        <v>5</v>
      </c>
      <c r="B10" s="32" t="str">
        <f>RIGHT("a09050084",LEN("a09050084")-1)</f>
        <v>09050084</v>
      </c>
      <c r="C10" s="33" t="s">
        <v>132</v>
      </c>
      <c r="D10" s="32" t="str">
        <f>RIGHT("a08/02/1991",LEN("a08/02/1991")-1)</f>
        <v>08/02/1991</v>
      </c>
      <c r="E10" s="34" t="s">
        <v>15</v>
      </c>
      <c r="F10" s="34">
        <v>3.58</v>
      </c>
      <c r="G10" s="34">
        <v>89</v>
      </c>
      <c r="H10" s="34" t="s">
        <v>11</v>
      </c>
      <c r="I10" s="17">
        <v>450000</v>
      </c>
      <c r="J10" s="18">
        <f t="shared" si="0"/>
        <v>2250000</v>
      </c>
      <c r="K10" s="20"/>
    </row>
    <row r="11" spans="1:11" s="7" customFormat="1" ht="18" customHeight="1">
      <c r="A11" s="16">
        <v>6</v>
      </c>
      <c r="B11" s="32" t="str">
        <f>RIGHT("a09050082",LEN("a09050082")-1)</f>
        <v>09050082</v>
      </c>
      <c r="C11" s="33" t="s">
        <v>133</v>
      </c>
      <c r="D11" s="32" t="str">
        <f>RIGHT("a06/10/1991",LEN("a06/10/1991")-1)</f>
        <v>06/10/1991</v>
      </c>
      <c r="E11" s="34" t="s">
        <v>15</v>
      </c>
      <c r="F11" s="34">
        <v>3.55</v>
      </c>
      <c r="G11" s="34">
        <v>79</v>
      </c>
      <c r="H11" s="34" t="s">
        <v>10</v>
      </c>
      <c r="I11" s="17">
        <v>420000</v>
      </c>
      <c r="J11" s="18">
        <f t="shared" si="0"/>
        <v>2100000</v>
      </c>
      <c r="K11" s="20"/>
    </row>
    <row r="12" spans="1:11" s="8" customFormat="1" ht="18" customHeight="1">
      <c r="A12" s="16">
        <v>7</v>
      </c>
      <c r="B12" s="32" t="str">
        <f>RIGHT("a09050125",LEN("a09050125")-1)</f>
        <v>09050125</v>
      </c>
      <c r="C12" s="33" t="s">
        <v>134</v>
      </c>
      <c r="D12" s="32" t="str">
        <f>RIGHT("a08/07/1991",LEN("a08/07/1991")-1)</f>
        <v>08/07/1991</v>
      </c>
      <c r="E12" s="34" t="s">
        <v>15</v>
      </c>
      <c r="F12" s="34">
        <v>3.52</v>
      </c>
      <c r="G12" s="34">
        <v>79</v>
      </c>
      <c r="H12" s="34" t="s">
        <v>10</v>
      </c>
      <c r="I12" s="17">
        <v>420000</v>
      </c>
      <c r="J12" s="18">
        <f t="shared" si="0"/>
        <v>2100000</v>
      </c>
      <c r="K12" s="21"/>
    </row>
    <row r="13" spans="1:11" s="8" customFormat="1" ht="18" customHeight="1">
      <c r="A13" s="16">
        <v>8</v>
      </c>
      <c r="B13" s="32" t="str">
        <f>RIGHT("a09050085",LEN("a09050085")-1)</f>
        <v>09050085</v>
      </c>
      <c r="C13" s="33" t="s">
        <v>135</v>
      </c>
      <c r="D13" s="32" t="str">
        <f>RIGHT("a17/04/1990",LEN("a17/04/1990")-1)</f>
        <v>17/04/1990</v>
      </c>
      <c r="E13" s="34" t="s">
        <v>15</v>
      </c>
      <c r="F13" s="34">
        <v>3.5</v>
      </c>
      <c r="G13" s="34">
        <v>79</v>
      </c>
      <c r="H13" s="34" t="s">
        <v>10</v>
      </c>
      <c r="I13" s="17">
        <v>420000</v>
      </c>
      <c r="J13" s="18">
        <f t="shared" si="0"/>
        <v>2100000</v>
      </c>
      <c r="K13" s="21"/>
    </row>
    <row r="14" spans="1:11" s="8" customFormat="1" ht="18" customHeight="1">
      <c r="A14" s="16">
        <v>9</v>
      </c>
      <c r="B14" s="35" t="str">
        <f>RIGHT("a09050090",LEN("a09050090")-1)</f>
        <v>09050090</v>
      </c>
      <c r="C14" s="36" t="s">
        <v>136</v>
      </c>
      <c r="D14" s="35" t="str">
        <f>RIGHT("a13/03/1991",LEN("a13/03/1991")-1)</f>
        <v>13/03/1991</v>
      </c>
      <c r="E14" s="37" t="s">
        <v>15</v>
      </c>
      <c r="F14" s="37">
        <v>3.49</v>
      </c>
      <c r="G14" s="37">
        <v>79</v>
      </c>
      <c r="H14" s="37" t="s">
        <v>10</v>
      </c>
      <c r="I14" s="17">
        <v>420000</v>
      </c>
      <c r="J14" s="18">
        <f t="shared" si="0"/>
        <v>2100000</v>
      </c>
      <c r="K14" s="21"/>
    </row>
    <row r="15" spans="1:11" s="8" customFormat="1" ht="18" customHeight="1">
      <c r="A15" s="16">
        <v>10</v>
      </c>
      <c r="B15" s="35" t="str">
        <f>RIGHT("a09050469",LEN("a09050469")-1)</f>
        <v>09050469</v>
      </c>
      <c r="C15" s="36" t="s">
        <v>18</v>
      </c>
      <c r="D15" s="35" t="str">
        <f>RIGHT("a01/08/1991",LEN("a01/08/1991")-1)</f>
        <v>01/08/1991</v>
      </c>
      <c r="E15" s="37" t="s">
        <v>17</v>
      </c>
      <c r="F15" s="37">
        <v>3.83</v>
      </c>
      <c r="G15" s="37">
        <v>91</v>
      </c>
      <c r="H15" s="37" t="s">
        <v>12</v>
      </c>
      <c r="I15" s="17">
        <v>480000</v>
      </c>
      <c r="J15" s="18">
        <f t="shared" si="0"/>
        <v>2400000</v>
      </c>
      <c r="K15" s="21"/>
    </row>
    <row r="16" spans="1:11" s="8" customFormat="1" ht="18" customHeight="1">
      <c r="A16" s="16">
        <v>11</v>
      </c>
      <c r="B16" s="35" t="str">
        <f>RIGHT("a09050437",LEN("a09050437")-1)</f>
        <v>09050437</v>
      </c>
      <c r="C16" s="36" t="s">
        <v>19</v>
      </c>
      <c r="D16" s="35" t="str">
        <f>RIGHT("a09/07/1991",LEN("a09/07/1991")-1)</f>
        <v>09/07/1991</v>
      </c>
      <c r="E16" s="37" t="s">
        <v>17</v>
      </c>
      <c r="F16" s="37">
        <v>3.82</v>
      </c>
      <c r="G16" s="37">
        <v>91</v>
      </c>
      <c r="H16" s="37" t="s">
        <v>12</v>
      </c>
      <c r="I16" s="17">
        <v>480000</v>
      </c>
      <c r="J16" s="18">
        <f t="shared" si="0"/>
        <v>2400000</v>
      </c>
      <c r="K16" s="21"/>
    </row>
    <row r="17" spans="1:11" s="8" customFormat="1" ht="18" customHeight="1">
      <c r="A17" s="16">
        <v>12</v>
      </c>
      <c r="B17" s="35" t="str">
        <f>RIGHT("a09050428",LEN("a09050428")-1)</f>
        <v>09050428</v>
      </c>
      <c r="C17" s="36" t="s">
        <v>137</v>
      </c>
      <c r="D17" s="35" t="str">
        <f>RIGHT("a13/07/1991",LEN("a13/07/1991")-1)</f>
        <v>13/07/1991</v>
      </c>
      <c r="E17" s="37" t="s">
        <v>17</v>
      </c>
      <c r="F17" s="37">
        <v>3.78</v>
      </c>
      <c r="G17" s="37">
        <v>81</v>
      </c>
      <c r="H17" s="37" t="s">
        <v>11</v>
      </c>
      <c r="I17" s="17">
        <v>450000</v>
      </c>
      <c r="J17" s="18">
        <f t="shared" si="0"/>
        <v>2250000</v>
      </c>
      <c r="K17" s="21"/>
    </row>
    <row r="18" spans="1:11" s="8" customFormat="1" ht="18" customHeight="1">
      <c r="A18" s="16">
        <v>13</v>
      </c>
      <c r="B18" s="35" t="str">
        <f>RIGHT("a09050407",LEN("a09050407")-1)</f>
        <v>09050407</v>
      </c>
      <c r="C18" s="36" t="s">
        <v>21</v>
      </c>
      <c r="D18" s="35" t="str">
        <f>RIGHT("a22/09/1991",LEN("a22/09/1991")-1)</f>
        <v>22/09/1991</v>
      </c>
      <c r="E18" s="37" t="s">
        <v>20</v>
      </c>
      <c r="F18" s="37">
        <v>3.64</v>
      </c>
      <c r="G18" s="37">
        <v>79</v>
      </c>
      <c r="H18" s="37" t="s">
        <v>10</v>
      </c>
      <c r="I18" s="17">
        <v>420000</v>
      </c>
      <c r="J18" s="18">
        <f t="shared" si="0"/>
        <v>2100000</v>
      </c>
      <c r="K18" s="21"/>
    </row>
    <row r="19" spans="1:11" s="8" customFormat="1" ht="18" customHeight="1">
      <c r="A19" s="16">
        <v>14</v>
      </c>
      <c r="B19" s="35" t="str">
        <f>RIGHT("a09050339",LEN("a09050339")-1)</f>
        <v>09050339</v>
      </c>
      <c r="C19" s="36" t="s">
        <v>22</v>
      </c>
      <c r="D19" s="35" t="str">
        <f>RIGHT("a13/07/1989",LEN("a13/07/1989")-1)</f>
        <v>13/07/1989</v>
      </c>
      <c r="E19" s="37" t="s">
        <v>20</v>
      </c>
      <c r="F19" s="37">
        <v>3.63</v>
      </c>
      <c r="G19" s="37">
        <v>91</v>
      </c>
      <c r="H19" s="37" t="s">
        <v>12</v>
      </c>
      <c r="I19" s="17">
        <v>480000</v>
      </c>
      <c r="J19" s="18">
        <f t="shared" si="0"/>
        <v>2400000</v>
      </c>
      <c r="K19" s="21"/>
    </row>
    <row r="20" spans="1:11" s="8" customFormat="1" ht="18" customHeight="1">
      <c r="A20" s="16">
        <v>15</v>
      </c>
      <c r="B20" s="35" t="str">
        <f>RIGHT("a09050332",LEN("a09050332")-1)</f>
        <v>09050332</v>
      </c>
      <c r="C20" s="36" t="s">
        <v>23</v>
      </c>
      <c r="D20" s="35" t="str">
        <f>RIGHT("a07/10/1991",LEN("a07/10/1991")-1)</f>
        <v>07/10/1991</v>
      </c>
      <c r="E20" s="37" t="s">
        <v>20</v>
      </c>
      <c r="F20" s="37">
        <v>3.54</v>
      </c>
      <c r="G20" s="37">
        <v>77</v>
      </c>
      <c r="H20" s="37" t="s">
        <v>10</v>
      </c>
      <c r="I20" s="17">
        <v>420000</v>
      </c>
      <c r="J20" s="18">
        <f t="shared" si="0"/>
        <v>2100000</v>
      </c>
      <c r="K20" s="21"/>
    </row>
    <row r="21" spans="1:11" s="8" customFormat="1" ht="18" customHeight="1">
      <c r="A21" s="16">
        <v>16</v>
      </c>
      <c r="B21" s="35" t="str">
        <f>RIGHT("a09050408",LEN("a09050408")-1)</f>
        <v>09050408</v>
      </c>
      <c r="C21" s="36" t="s">
        <v>24</v>
      </c>
      <c r="D21" s="35" t="str">
        <f>RIGHT("a31/05/1991",LEN("a31/05/1991")-1)</f>
        <v>31/05/1991</v>
      </c>
      <c r="E21" s="37" t="s">
        <v>20</v>
      </c>
      <c r="F21" s="37">
        <v>3.53</v>
      </c>
      <c r="G21" s="37">
        <v>77</v>
      </c>
      <c r="H21" s="37" t="s">
        <v>10</v>
      </c>
      <c r="I21" s="17">
        <v>420000</v>
      </c>
      <c r="J21" s="18">
        <f t="shared" si="0"/>
        <v>2100000</v>
      </c>
      <c r="K21" s="21"/>
    </row>
    <row r="22" spans="1:11" s="8" customFormat="1" ht="18" customHeight="1">
      <c r="A22" s="16">
        <v>17</v>
      </c>
      <c r="B22" s="35" t="str">
        <f>RIGHT("a09050374",LEN("a09050374")-1)</f>
        <v>09050374</v>
      </c>
      <c r="C22" s="36" t="s">
        <v>138</v>
      </c>
      <c r="D22" s="35" t="str">
        <f>RIGHT("a10/04/1991",LEN("a10/04/1991")-1)</f>
        <v>10/04/1991</v>
      </c>
      <c r="E22" s="37" t="s">
        <v>20</v>
      </c>
      <c r="F22" s="37">
        <v>3.5</v>
      </c>
      <c r="G22" s="37">
        <v>77</v>
      </c>
      <c r="H22" s="37" t="s">
        <v>10</v>
      </c>
      <c r="I22" s="17">
        <v>420000</v>
      </c>
      <c r="J22" s="18">
        <f t="shared" si="0"/>
        <v>2100000</v>
      </c>
      <c r="K22" s="21"/>
    </row>
    <row r="23" spans="1:11" s="8" customFormat="1" ht="18" customHeight="1">
      <c r="A23" s="16">
        <v>18</v>
      </c>
      <c r="B23" s="35" t="str">
        <f>RIGHT("a09050388",LEN("a09050388")-1)</f>
        <v>09050388</v>
      </c>
      <c r="C23" s="36" t="s">
        <v>139</v>
      </c>
      <c r="D23" s="35" t="str">
        <f>RIGHT("a12/12/1991",LEN("a12/12/1991")-1)</f>
        <v>12/12/1991</v>
      </c>
      <c r="E23" s="37" t="s">
        <v>20</v>
      </c>
      <c r="F23" s="37">
        <v>3.5</v>
      </c>
      <c r="G23" s="37">
        <v>77</v>
      </c>
      <c r="H23" s="37" t="s">
        <v>10</v>
      </c>
      <c r="I23" s="17">
        <v>420000</v>
      </c>
      <c r="J23" s="18">
        <f t="shared" si="0"/>
        <v>2100000</v>
      </c>
      <c r="K23" s="21"/>
    </row>
    <row r="24" spans="1:11" s="8" customFormat="1" ht="18" customHeight="1">
      <c r="A24" s="16">
        <v>19</v>
      </c>
      <c r="B24" s="35" t="str">
        <f>RIGHT("a09050382",LEN("a09050382")-1)</f>
        <v>09050382</v>
      </c>
      <c r="C24" s="36" t="s">
        <v>140</v>
      </c>
      <c r="D24" s="35" t="str">
        <f>RIGHT("a18/03/1991",LEN("a18/03/1991")-1)</f>
        <v>18/03/1991</v>
      </c>
      <c r="E24" s="37" t="s">
        <v>20</v>
      </c>
      <c r="F24" s="37">
        <v>3.45</v>
      </c>
      <c r="G24" s="37">
        <v>77</v>
      </c>
      <c r="H24" s="37" t="s">
        <v>10</v>
      </c>
      <c r="I24" s="17">
        <v>420000</v>
      </c>
      <c r="J24" s="18">
        <f t="shared" si="0"/>
        <v>2100000</v>
      </c>
      <c r="K24" s="21"/>
    </row>
    <row r="25" spans="1:11" s="8" customFormat="1" ht="18" customHeight="1">
      <c r="A25" s="16">
        <v>20</v>
      </c>
      <c r="B25" s="35" t="str">
        <f>RIGHT("a09050166",LEN("a09050166")-1)</f>
        <v>09050166</v>
      </c>
      <c r="C25" s="36" t="s">
        <v>25</v>
      </c>
      <c r="D25" s="35" t="str">
        <f>RIGHT("a02/12/1991",LEN("a02/12/1991")-1)</f>
        <v>02/12/1991</v>
      </c>
      <c r="E25" s="37" t="s">
        <v>26</v>
      </c>
      <c r="F25" s="37">
        <v>3.85</v>
      </c>
      <c r="G25" s="37">
        <v>81</v>
      </c>
      <c r="H25" s="37" t="s">
        <v>11</v>
      </c>
      <c r="I25" s="17">
        <v>450000</v>
      </c>
      <c r="J25" s="18">
        <f t="shared" si="0"/>
        <v>2250000</v>
      </c>
      <c r="K25" s="21"/>
    </row>
    <row r="26" spans="1:11" s="8" customFormat="1" ht="18" customHeight="1">
      <c r="A26" s="16">
        <v>21</v>
      </c>
      <c r="B26" s="35" t="str">
        <f>RIGHT("a09050240",LEN("a09050240")-1)</f>
        <v>09050240</v>
      </c>
      <c r="C26" s="36" t="s">
        <v>27</v>
      </c>
      <c r="D26" s="35" t="str">
        <f>RIGHT("a04/10/1991",LEN("a04/10/1991")-1)</f>
        <v>04/10/1991</v>
      </c>
      <c r="E26" s="37" t="s">
        <v>26</v>
      </c>
      <c r="F26" s="37">
        <v>3.81</v>
      </c>
      <c r="G26" s="37">
        <v>81</v>
      </c>
      <c r="H26" s="37" t="s">
        <v>11</v>
      </c>
      <c r="I26" s="17">
        <v>450000</v>
      </c>
      <c r="J26" s="18">
        <f t="shared" si="0"/>
        <v>2250000</v>
      </c>
      <c r="K26" s="21"/>
    </row>
    <row r="27" spans="1:11" s="8" customFormat="1" ht="18" customHeight="1">
      <c r="A27" s="16">
        <v>22</v>
      </c>
      <c r="B27" s="35" t="str">
        <f>RIGHT("a09050249",LEN("a09050249")-1)</f>
        <v>09050249</v>
      </c>
      <c r="C27" s="36" t="s">
        <v>28</v>
      </c>
      <c r="D27" s="35" t="str">
        <f>RIGHT("a07/08/1991",LEN("a07/08/1991")-1)</f>
        <v>07/08/1991</v>
      </c>
      <c r="E27" s="37" t="s">
        <v>26</v>
      </c>
      <c r="F27" s="37">
        <v>3.78</v>
      </c>
      <c r="G27" s="37">
        <v>81</v>
      </c>
      <c r="H27" s="37" t="s">
        <v>11</v>
      </c>
      <c r="I27" s="17">
        <v>450000</v>
      </c>
      <c r="J27" s="18">
        <f t="shared" si="0"/>
        <v>2250000</v>
      </c>
      <c r="K27" s="21"/>
    </row>
    <row r="28" spans="1:11" s="8" customFormat="1" ht="18" customHeight="1">
      <c r="A28" s="16">
        <v>23</v>
      </c>
      <c r="B28" s="35" t="str">
        <f>RIGHT("a09050215",LEN("a09050215")-1)</f>
        <v>09050215</v>
      </c>
      <c r="C28" s="36" t="s">
        <v>29</v>
      </c>
      <c r="D28" s="35" t="str">
        <f>RIGHT("a17/07/1991",LEN("a17/07/1991")-1)</f>
        <v>17/07/1991</v>
      </c>
      <c r="E28" s="37" t="s">
        <v>26</v>
      </c>
      <c r="F28" s="37">
        <v>3.77</v>
      </c>
      <c r="G28" s="37">
        <v>81</v>
      </c>
      <c r="H28" s="37" t="s">
        <v>11</v>
      </c>
      <c r="I28" s="17">
        <v>450000</v>
      </c>
      <c r="J28" s="18">
        <f t="shared" si="0"/>
        <v>2250000</v>
      </c>
      <c r="K28" s="21"/>
    </row>
    <row r="29" spans="1:11" s="8" customFormat="1" ht="18" customHeight="1">
      <c r="A29" s="16">
        <v>24</v>
      </c>
      <c r="B29" s="35" t="str">
        <f>RIGHT("a09050222",LEN("a09050222")-1)</f>
        <v>09050222</v>
      </c>
      <c r="C29" s="36" t="s">
        <v>30</v>
      </c>
      <c r="D29" s="35" t="str">
        <f>RIGHT("a10/05/1991",LEN("a10/05/1991")-1)</f>
        <v>10/05/1991</v>
      </c>
      <c r="E29" s="37" t="s">
        <v>26</v>
      </c>
      <c r="F29" s="37">
        <v>3.77</v>
      </c>
      <c r="G29" s="37">
        <v>81</v>
      </c>
      <c r="H29" s="37" t="s">
        <v>11</v>
      </c>
      <c r="I29" s="17">
        <v>450000</v>
      </c>
      <c r="J29" s="18">
        <f t="shared" si="0"/>
        <v>2250000</v>
      </c>
      <c r="K29" s="21"/>
    </row>
    <row r="30" spans="1:11" s="8" customFormat="1" ht="18" customHeight="1">
      <c r="A30" s="16">
        <v>25</v>
      </c>
      <c r="B30" s="35" t="str">
        <f>RIGHT("a09050239",LEN("a09050239")-1)</f>
        <v>09050239</v>
      </c>
      <c r="C30" s="36" t="s">
        <v>31</v>
      </c>
      <c r="D30" s="35" t="str">
        <f>RIGHT("a26/03/1991",LEN("a26/03/1991")-1)</f>
        <v>26/03/1991</v>
      </c>
      <c r="E30" s="37" t="s">
        <v>26</v>
      </c>
      <c r="F30" s="37">
        <v>3.77</v>
      </c>
      <c r="G30" s="37">
        <v>81</v>
      </c>
      <c r="H30" s="37" t="s">
        <v>11</v>
      </c>
      <c r="I30" s="17">
        <v>450000</v>
      </c>
      <c r="J30" s="18">
        <f t="shared" si="0"/>
        <v>2250000</v>
      </c>
      <c r="K30" s="21"/>
    </row>
    <row r="31" spans="1:11" s="8" customFormat="1" ht="18" customHeight="1">
      <c r="A31" s="16">
        <v>26</v>
      </c>
      <c r="B31" s="35" t="str">
        <f>RIGHT("a09050225",LEN("a09050225")-1)</f>
        <v>09050225</v>
      </c>
      <c r="C31" s="36" t="s">
        <v>32</v>
      </c>
      <c r="D31" s="35" t="str">
        <f>RIGHT("a27/08/1991",LEN("a27/08/1991")-1)</f>
        <v>27/08/1991</v>
      </c>
      <c r="E31" s="37" t="s">
        <v>26</v>
      </c>
      <c r="F31" s="37">
        <v>3.74</v>
      </c>
      <c r="G31" s="37">
        <v>81</v>
      </c>
      <c r="H31" s="37" t="s">
        <v>11</v>
      </c>
      <c r="I31" s="17">
        <v>450000</v>
      </c>
      <c r="J31" s="18">
        <f t="shared" si="0"/>
        <v>2250000</v>
      </c>
      <c r="K31" s="21"/>
    </row>
    <row r="32" spans="1:11" s="8" customFormat="1" ht="18" customHeight="1">
      <c r="A32" s="16">
        <v>27</v>
      </c>
      <c r="B32" s="35" t="str">
        <f>RIGHT("a09050257",LEN("a09050257")-1)</f>
        <v>09050257</v>
      </c>
      <c r="C32" s="36" t="s">
        <v>33</v>
      </c>
      <c r="D32" s="35" t="str">
        <f>RIGHT("a10/01/1991",LEN("a10/01/1991")-1)</f>
        <v>10/01/1991</v>
      </c>
      <c r="E32" s="37" t="s">
        <v>26</v>
      </c>
      <c r="F32" s="37">
        <v>3.74</v>
      </c>
      <c r="G32" s="37">
        <v>81</v>
      </c>
      <c r="H32" s="37" t="s">
        <v>11</v>
      </c>
      <c r="I32" s="17">
        <v>450000</v>
      </c>
      <c r="J32" s="18">
        <f t="shared" si="0"/>
        <v>2250000</v>
      </c>
      <c r="K32" s="21"/>
    </row>
    <row r="33" spans="1:11" s="8" customFormat="1" ht="18" customHeight="1">
      <c r="A33" s="16">
        <v>28</v>
      </c>
      <c r="B33" s="35" t="str">
        <f>RIGHT("a09050220",LEN("a09050220")-1)</f>
        <v>09050220</v>
      </c>
      <c r="C33" s="36" t="s">
        <v>34</v>
      </c>
      <c r="D33" s="35" t="str">
        <f>RIGHT("a12/08/1991",LEN("a12/08/1991")-1)</f>
        <v>12/08/1991</v>
      </c>
      <c r="E33" s="37" t="s">
        <v>35</v>
      </c>
      <c r="F33" s="37">
        <v>3.92</v>
      </c>
      <c r="G33" s="37">
        <v>98</v>
      </c>
      <c r="H33" s="37" t="s">
        <v>12</v>
      </c>
      <c r="I33" s="17">
        <v>480000</v>
      </c>
      <c r="J33" s="18">
        <f t="shared" si="0"/>
        <v>2400000</v>
      </c>
      <c r="K33" s="21"/>
    </row>
    <row r="34" spans="1:11" s="8" customFormat="1" ht="18" customHeight="1">
      <c r="A34" s="16">
        <v>29</v>
      </c>
      <c r="B34" s="35" t="str">
        <f>RIGHT("a10050521",LEN("a10050521")-1)</f>
        <v>10050521</v>
      </c>
      <c r="C34" s="36" t="s">
        <v>36</v>
      </c>
      <c r="D34" s="35" t="str">
        <f>RIGHT("a11/03/1991",LEN("a11/03/1991")-1)</f>
        <v>11/03/1991</v>
      </c>
      <c r="E34" s="37" t="s">
        <v>37</v>
      </c>
      <c r="F34" s="37">
        <v>3.73</v>
      </c>
      <c r="G34" s="37">
        <v>94</v>
      </c>
      <c r="H34" s="37" t="s">
        <v>12</v>
      </c>
      <c r="I34" s="17">
        <v>480000</v>
      </c>
      <c r="J34" s="18">
        <f t="shared" si="0"/>
        <v>2400000</v>
      </c>
      <c r="K34" s="21"/>
    </row>
    <row r="35" spans="1:11" s="8" customFormat="1" ht="18" customHeight="1">
      <c r="A35" s="16">
        <v>30</v>
      </c>
      <c r="B35" s="35" t="str">
        <f>RIGHT("a10050363",LEN("a10050363")-1)</f>
        <v>10050363</v>
      </c>
      <c r="C35" s="36" t="s">
        <v>38</v>
      </c>
      <c r="D35" s="35" t="str">
        <f>RIGHT("a24/03/1992",LEN("a24/03/1992")-1)</f>
        <v>24/03/1992</v>
      </c>
      <c r="E35" s="37" t="s">
        <v>37</v>
      </c>
      <c r="F35" s="37">
        <v>3.71</v>
      </c>
      <c r="G35" s="37">
        <v>91</v>
      </c>
      <c r="H35" s="37" t="s">
        <v>12</v>
      </c>
      <c r="I35" s="17">
        <v>480000</v>
      </c>
      <c r="J35" s="18">
        <f t="shared" si="0"/>
        <v>2400000</v>
      </c>
      <c r="K35" s="21"/>
    </row>
    <row r="36" spans="1:11" s="8" customFormat="1" ht="18" customHeight="1">
      <c r="A36" s="16">
        <v>31</v>
      </c>
      <c r="B36" s="35" t="str">
        <f>RIGHT("a10050022",LEN("a10050022")-1)</f>
        <v>10050022</v>
      </c>
      <c r="C36" s="36" t="s">
        <v>39</v>
      </c>
      <c r="D36" s="35" t="str">
        <f>RIGHT("a27/12/1992",LEN("a27/12/1992")-1)</f>
        <v>27/12/1992</v>
      </c>
      <c r="E36" s="37" t="s">
        <v>37</v>
      </c>
      <c r="F36" s="37">
        <v>3.7</v>
      </c>
      <c r="G36" s="37">
        <v>91</v>
      </c>
      <c r="H36" s="37" t="s">
        <v>12</v>
      </c>
      <c r="I36" s="17">
        <v>480000</v>
      </c>
      <c r="J36" s="18">
        <f t="shared" si="0"/>
        <v>2400000</v>
      </c>
      <c r="K36" s="21"/>
    </row>
    <row r="37" spans="1:11" s="8" customFormat="1" ht="18" customHeight="1">
      <c r="A37" s="16">
        <v>32</v>
      </c>
      <c r="B37" s="35" t="str">
        <f>RIGHT("a10050073",LEN("a10050073")-1)</f>
        <v>10050073</v>
      </c>
      <c r="C37" s="36" t="s">
        <v>40</v>
      </c>
      <c r="D37" s="35" t="str">
        <f>RIGHT("a07/01/1992",LEN("a07/01/1992")-1)</f>
        <v>07/01/1992</v>
      </c>
      <c r="E37" s="37" t="s">
        <v>41</v>
      </c>
      <c r="F37" s="37">
        <v>3.8</v>
      </c>
      <c r="G37" s="37">
        <v>91</v>
      </c>
      <c r="H37" s="37" t="s">
        <v>12</v>
      </c>
      <c r="I37" s="17">
        <v>480000</v>
      </c>
      <c r="J37" s="18">
        <f t="shared" si="0"/>
        <v>2400000</v>
      </c>
      <c r="K37" s="21"/>
    </row>
    <row r="38" spans="1:11" s="8" customFormat="1" ht="18" customHeight="1">
      <c r="A38" s="16">
        <v>33</v>
      </c>
      <c r="B38" s="35" t="str">
        <f>RIGHT("a10050067",LEN("a10050067")-1)</f>
        <v>10050067</v>
      </c>
      <c r="C38" s="36" t="s">
        <v>42</v>
      </c>
      <c r="D38" s="35" t="str">
        <f>RIGHT("a05/07/1992",LEN("a05/07/1992")-1)</f>
        <v>05/07/1992</v>
      </c>
      <c r="E38" s="37" t="s">
        <v>41</v>
      </c>
      <c r="F38" s="37">
        <v>3.77</v>
      </c>
      <c r="G38" s="37">
        <v>85</v>
      </c>
      <c r="H38" s="37" t="s">
        <v>11</v>
      </c>
      <c r="I38" s="17">
        <v>450000</v>
      </c>
      <c r="J38" s="18">
        <f t="shared" si="0"/>
        <v>2250000</v>
      </c>
      <c r="K38" s="21"/>
    </row>
    <row r="39" spans="1:11" s="8" customFormat="1" ht="18" customHeight="1">
      <c r="A39" s="16">
        <v>34</v>
      </c>
      <c r="B39" s="35" t="str">
        <f>RIGHT("a10050133",LEN("a10050133")-1)</f>
        <v>10050133</v>
      </c>
      <c r="C39" s="36" t="s">
        <v>43</v>
      </c>
      <c r="D39" s="35" t="str">
        <f>RIGHT("a29/08/1992",LEN("a29/08/1992")-1)</f>
        <v>29/08/1992</v>
      </c>
      <c r="E39" s="37" t="s">
        <v>41</v>
      </c>
      <c r="F39" s="37">
        <v>3.7</v>
      </c>
      <c r="G39" s="37">
        <v>97</v>
      </c>
      <c r="H39" s="37" t="s">
        <v>12</v>
      </c>
      <c r="I39" s="17">
        <v>480000</v>
      </c>
      <c r="J39" s="18">
        <f t="shared" si="0"/>
        <v>2400000</v>
      </c>
      <c r="K39" s="21"/>
    </row>
    <row r="40" spans="1:11" s="8" customFormat="1" ht="18" customHeight="1">
      <c r="A40" s="16">
        <v>35</v>
      </c>
      <c r="B40" s="35" t="str">
        <f>RIGHT("a10050347",LEN("a10050347")-1)</f>
        <v>10050347</v>
      </c>
      <c r="C40" s="36" t="s">
        <v>44</v>
      </c>
      <c r="D40" s="35" t="str">
        <f>RIGHT("a18/12/1992",LEN("a18/12/1992")-1)</f>
        <v>18/12/1992</v>
      </c>
      <c r="E40" s="37" t="s">
        <v>41</v>
      </c>
      <c r="F40" s="37">
        <v>3.7</v>
      </c>
      <c r="G40" s="37">
        <v>91</v>
      </c>
      <c r="H40" s="37" t="s">
        <v>12</v>
      </c>
      <c r="I40" s="17">
        <v>480000</v>
      </c>
      <c r="J40" s="18">
        <f t="shared" si="0"/>
        <v>2400000</v>
      </c>
      <c r="K40" s="21"/>
    </row>
    <row r="41" spans="1:11" s="8" customFormat="1" ht="18" customHeight="1">
      <c r="A41" s="16">
        <v>36</v>
      </c>
      <c r="B41" s="35" t="str">
        <f>RIGHT("a10050545",LEN("a10050545")-1)</f>
        <v>10050545</v>
      </c>
      <c r="C41" s="36" t="s">
        <v>45</v>
      </c>
      <c r="D41" s="35" t="str">
        <f>RIGHT("a19/09/1992",LEN("a19/09/1992")-1)</f>
        <v>19/09/1992</v>
      </c>
      <c r="E41" s="37" t="s">
        <v>46</v>
      </c>
      <c r="F41" s="37">
        <v>3.79</v>
      </c>
      <c r="G41" s="37">
        <v>91</v>
      </c>
      <c r="H41" s="37" t="s">
        <v>12</v>
      </c>
      <c r="I41" s="17">
        <v>480000</v>
      </c>
      <c r="J41" s="18">
        <f t="shared" si="0"/>
        <v>2400000</v>
      </c>
      <c r="K41" s="21"/>
    </row>
    <row r="42" spans="1:11" s="8" customFormat="1" ht="18" customHeight="1">
      <c r="A42" s="16"/>
      <c r="B42" s="35">
        <v>10050601</v>
      </c>
      <c r="C42" s="36" t="s">
        <v>201</v>
      </c>
      <c r="D42" s="53">
        <v>33948</v>
      </c>
      <c r="E42" s="37" t="s">
        <v>46</v>
      </c>
      <c r="F42" s="37">
        <v>3.52</v>
      </c>
      <c r="G42" s="37">
        <v>89</v>
      </c>
      <c r="H42" s="37" t="s">
        <v>11</v>
      </c>
      <c r="I42" s="17">
        <v>450000</v>
      </c>
      <c r="J42" s="18">
        <f t="shared" si="0"/>
        <v>2250000</v>
      </c>
      <c r="K42" s="21"/>
    </row>
    <row r="43" spans="1:11" s="8" customFormat="1" ht="18" customHeight="1">
      <c r="A43" s="16">
        <v>37</v>
      </c>
      <c r="B43" s="35" t="str">
        <f>RIGHT("a10050313",LEN("a10050313")-1)</f>
        <v>10050313</v>
      </c>
      <c r="C43" s="36" t="s">
        <v>47</v>
      </c>
      <c r="D43" s="35" t="str">
        <f>RIGHT("a17/10/1992",LEN("a17/10/1992")-1)</f>
        <v>17/10/1992</v>
      </c>
      <c r="E43" s="37" t="s">
        <v>48</v>
      </c>
      <c r="F43" s="37">
        <v>3.73</v>
      </c>
      <c r="G43" s="37">
        <v>89</v>
      </c>
      <c r="H43" s="37" t="s">
        <v>11</v>
      </c>
      <c r="I43" s="17">
        <v>450000</v>
      </c>
      <c r="J43" s="18">
        <f t="shared" si="0"/>
        <v>2250000</v>
      </c>
      <c r="K43" s="21"/>
    </row>
    <row r="44" spans="1:11" s="8" customFormat="1" ht="18" customHeight="1">
      <c r="A44" s="16">
        <v>38</v>
      </c>
      <c r="B44" s="35" t="str">
        <f>RIGHT("a10050290",LEN("a10050290")-1)</f>
        <v>10050290</v>
      </c>
      <c r="C44" s="36" t="s">
        <v>49</v>
      </c>
      <c r="D44" s="35" t="str">
        <f>RIGHT("a29/03/1992",LEN("a29/03/1992")-1)</f>
        <v>29/03/1992</v>
      </c>
      <c r="E44" s="37" t="s">
        <v>48</v>
      </c>
      <c r="F44" s="37">
        <v>3.68</v>
      </c>
      <c r="G44" s="37">
        <v>94</v>
      </c>
      <c r="H44" s="37" t="s">
        <v>12</v>
      </c>
      <c r="I44" s="17">
        <v>480000</v>
      </c>
      <c r="J44" s="18">
        <f t="shared" si="0"/>
        <v>2400000</v>
      </c>
      <c r="K44" s="21"/>
    </row>
    <row r="45" spans="1:11" s="27" customFormat="1" ht="18" customHeight="1">
      <c r="A45" s="16">
        <v>39</v>
      </c>
      <c r="B45" s="35" t="str">
        <f>RIGHT("a10050294",LEN("a10050294")-1)</f>
        <v>10050294</v>
      </c>
      <c r="C45" s="36" t="s">
        <v>50</v>
      </c>
      <c r="D45" s="35" t="str">
        <f>RIGHT("a28/09/1992",LEN("a28/09/1992")-1)</f>
        <v>28/09/1992</v>
      </c>
      <c r="E45" s="37" t="s">
        <v>48</v>
      </c>
      <c r="F45" s="37">
        <v>3.68</v>
      </c>
      <c r="G45" s="37">
        <v>81</v>
      </c>
      <c r="H45" s="37" t="s">
        <v>11</v>
      </c>
      <c r="I45" s="17">
        <v>450000</v>
      </c>
      <c r="J45" s="18">
        <f t="shared" si="0"/>
        <v>2250000</v>
      </c>
      <c r="K45" s="21"/>
    </row>
    <row r="46" spans="1:11" s="27" customFormat="1" ht="18" customHeight="1">
      <c r="A46" s="16">
        <v>40</v>
      </c>
      <c r="B46" s="35">
        <v>10050259</v>
      </c>
      <c r="C46" s="36" t="s">
        <v>200</v>
      </c>
      <c r="D46" s="53">
        <v>33749</v>
      </c>
      <c r="E46" s="37" t="s">
        <v>48</v>
      </c>
      <c r="F46" s="37">
        <v>3.59</v>
      </c>
      <c r="G46" s="37">
        <v>87</v>
      </c>
      <c r="H46" s="37" t="s">
        <v>11</v>
      </c>
      <c r="I46" s="17">
        <v>450000</v>
      </c>
      <c r="J46" s="18">
        <f t="shared" si="0"/>
        <v>2250000</v>
      </c>
      <c r="K46" s="21"/>
    </row>
    <row r="47" spans="1:11" s="8" customFormat="1" ht="18" customHeight="1">
      <c r="A47" s="16">
        <v>41</v>
      </c>
      <c r="B47" s="35" t="str">
        <f>RIGHT("a10050559",LEN("a10050559")-1)</f>
        <v>10050559</v>
      </c>
      <c r="C47" s="36" t="s">
        <v>51</v>
      </c>
      <c r="D47" s="35" t="str">
        <f>RIGHT("a31/12/1992",LEN("a31/12/1992")-1)</f>
        <v>31/12/1992</v>
      </c>
      <c r="E47" s="37" t="s">
        <v>48</v>
      </c>
      <c r="F47" s="37">
        <v>3.53</v>
      </c>
      <c r="G47" s="37">
        <v>79</v>
      </c>
      <c r="H47" s="37" t="s">
        <v>10</v>
      </c>
      <c r="I47" s="17">
        <v>420000</v>
      </c>
      <c r="J47" s="18">
        <f t="shared" si="0"/>
        <v>2100000</v>
      </c>
      <c r="K47" s="21"/>
    </row>
    <row r="48" spans="1:11" s="8" customFormat="1" ht="18" customHeight="1">
      <c r="A48" s="16">
        <v>42</v>
      </c>
      <c r="B48" s="35" t="str">
        <f>RIGHT("a11050648",LEN("a11050648")-1)</f>
        <v>11050648</v>
      </c>
      <c r="C48" s="36" t="s">
        <v>52</v>
      </c>
      <c r="D48" s="35" t="str">
        <f>RIGHT("a16/06/1992",LEN("a16/06/1992")-1)</f>
        <v>16/06/1992</v>
      </c>
      <c r="E48" s="37" t="s">
        <v>48</v>
      </c>
      <c r="F48" s="37">
        <v>3.48</v>
      </c>
      <c r="G48" s="37">
        <v>74</v>
      </c>
      <c r="H48" s="37" t="s">
        <v>10</v>
      </c>
      <c r="I48" s="17">
        <v>420000</v>
      </c>
      <c r="J48" s="18">
        <f t="shared" si="0"/>
        <v>2100000</v>
      </c>
      <c r="K48" s="21"/>
    </row>
    <row r="49" spans="1:11" s="8" customFormat="1" ht="18" customHeight="1">
      <c r="A49" s="16">
        <v>43</v>
      </c>
      <c r="B49" s="35" t="str">
        <f>RIGHT("a10050001",LEN("a10050001")-1)</f>
        <v>10050001</v>
      </c>
      <c r="C49" s="36" t="s">
        <v>53</v>
      </c>
      <c r="D49" s="35" t="str">
        <f>RIGHT("a23/09/1992",LEN("a23/09/1992")-1)</f>
        <v>23/09/1992</v>
      </c>
      <c r="E49" s="37" t="s">
        <v>54</v>
      </c>
      <c r="F49" s="37">
        <v>3.89</v>
      </c>
      <c r="G49" s="37">
        <v>91</v>
      </c>
      <c r="H49" s="37" t="s">
        <v>12</v>
      </c>
      <c r="I49" s="17">
        <v>480000</v>
      </c>
      <c r="J49" s="18">
        <f t="shared" si="0"/>
        <v>2400000</v>
      </c>
      <c r="K49" s="21"/>
    </row>
    <row r="50" spans="1:11" s="8" customFormat="1" ht="18" customHeight="1">
      <c r="A50" s="16">
        <v>44</v>
      </c>
      <c r="B50" s="35" t="str">
        <f>RIGHT("a10050118",LEN("a10050118")-1)</f>
        <v>10050118</v>
      </c>
      <c r="C50" s="36" t="s">
        <v>55</v>
      </c>
      <c r="D50" s="35" t="str">
        <f>RIGHT("a06/09/1992",LEN("a06/09/1992")-1)</f>
        <v>06/09/1992</v>
      </c>
      <c r="E50" s="37" t="s">
        <v>54</v>
      </c>
      <c r="F50" s="37">
        <v>3.78</v>
      </c>
      <c r="G50" s="37">
        <v>91</v>
      </c>
      <c r="H50" s="37" t="s">
        <v>12</v>
      </c>
      <c r="I50" s="17">
        <v>480000</v>
      </c>
      <c r="J50" s="18">
        <f t="shared" si="0"/>
        <v>2400000</v>
      </c>
      <c r="K50" s="21"/>
    </row>
    <row r="51" spans="1:11" s="8" customFormat="1" ht="18" customHeight="1">
      <c r="A51" s="16">
        <v>45</v>
      </c>
      <c r="B51" s="35" t="str">
        <f>RIGHT("a10050072",LEN("a10050072")-1)</f>
        <v>10050072</v>
      </c>
      <c r="C51" s="36" t="s">
        <v>56</v>
      </c>
      <c r="D51" s="35" t="str">
        <f>RIGHT("a28/06/1992",LEN("a28/06/1992")-1)</f>
        <v>28/06/1992</v>
      </c>
      <c r="E51" s="37" t="s">
        <v>54</v>
      </c>
      <c r="F51" s="37">
        <v>3.73</v>
      </c>
      <c r="G51" s="37">
        <v>81</v>
      </c>
      <c r="H51" s="37" t="s">
        <v>11</v>
      </c>
      <c r="I51" s="17">
        <v>450000</v>
      </c>
      <c r="J51" s="18">
        <f t="shared" si="0"/>
        <v>2250000</v>
      </c>
      <c r="K51" s="21"/>
    </row>
    <row r="52" spans="1:11" s="8" customFormat="1" ht="18" customHeight="1">
      <c r="A52" s="16">
        <v>46</v>
      </c>
      <c r="B52" s="35" t="str">
        <f>RIGHT("a10050041",LEN("a10050041")-1)</f>
        <v>10050041</v>
      </c>
      <c r="C52" s="36" t="s">
        <v>57</v>
      </c>
      <c r="D52" s="35" t="str">
        <f>RIGHT("a15/05/1992",LEN("a15/05/1992")-1)</f>
        <v>15/05/1992</v>
      </c>
      <c r="E52" s="37" t="s">
        <v>54</v>
      </c>
      <c r="F52" s="37">
        <v>3.71</v>
      </c>
      <c r="G52" s="37">
        <v>97</v>
      </c>
      <c r="H52" s="37" t="s">
        <v>12</v>
      </c>
      <c r="I52" s="17">
        <v>480000</v>
      </c>
      <c r="J52" s="18">
        <f t="shared" si="0"/>
        <v>2400000</v>
      </c>
      <c r="K52" s="21"/>
    </row>
    <row r="53" spans="1:11" s="8" customFormat="1" ht="18" customHeight="1">
      <c r="A53" s="16">
        <v>47</v>
      </c>
      <c r="B53" s="35" t="str">
        <f>RIGHT("a10050027",LEN("a10050027")-1)</f>
        <v>10050027</v>
      </c>
      <c r="C53" s="36" t="s">
        <v>58</v>
      </c>
      <c r="D53" s="35" t="str">
        <f>RIGHT("a17/08/1992",LEN("a17/08/1992")-1)</f>
        <v>17/08/1992</v>
      </c>
      <c r="E53" s="37" t="s">
        <v>54</v>
      </c>
      <c r="F53" s="37">
        <v>3.7</v>
      </c>
      <c r="G53" s="37">
        <v>81</v>
      </c>
      <c r="H53" s="37" t="s">
        <v>11</v>
      </c>
      <c r="I53" s="17">
        <v>450000</v>
      </c>
      <c r="J53" s="18">
        <f t="shared" si="0"/>
        <v>2250000</v>
      </c>
      <c r="K53" s="21"/>
    </row>
    <row r="54" spans="1:11" s="8" customFormat="1" ht="18" customHeight="1">
      <c r="A54" s="16">
        <v>48</v>
      </c>
      <c r="B54" s="35" t="str">
        <f>RIGHT("a10050114",LEN("a10050114")-1)</f>
        <v>10050114</v>
      </c>
      <c r="C54" s="36" t="s">
        <v>59</v>
      </c>
      <c r="D54" s="35" t="str">
        <f>RIGHT("a04/07/1992",LEN("a04/07/1992")-1)</f>
        <v>04/07/1992</v>
      </c>
      <c r="E54" s="37" t="s">
        <v>54</v>
      </c>
      <c r="F54" s="37">
        <v>3.68</v>
      </c>
      <c r="G54" s="37">
        <v>81</v>
      </c>
      <c r="H54" s="37" t="s">
        <v>11</v>
      </c>
      <c r="I54" s="17">
        <v>450000</v>
      </c>
      <c r="J54" s="18">
        <f t="shared" si="0"/>
        <v>2250000</v>
      </c>
      <c r="K54" s="21"/>
    </row>
    <row r="55" spans="1:11" s="8" customFormat="1" ht="18" customHeight="1">
      <c r="A55" s="16">
        <v>49</v>
      </c>
      <c r="B55" s="35" t="str">
        <f>RIGHT("a10050583",LEN("a10050583")-1)</f>
        <v>10050583</v>
      </c>
      <c r="C55" s="36" t="s">
        <v>60</v>
      </c>
      <c r="D55" s="35" t="str">
        <f>RIGHT("a01/09/1992",LEN("a01/09/1992")-1)</f>
        <v>01/09/1992</v>
      </c>
      <c r="E55" s="37" t="s">
        <v>54</v>
      </c>
      <c r="F55" s="37">
        <v>3.68</v>
      </c>
      <c r="G55" s="37">
        <v>81</v>
      </c>
      <c r="H55" s="37" t="s">
        <v>11</v>
      </c>
      <c r="I55" s="17">
        <v>450000</v>
      </c>
      <c r="J55" s="18">
        <f t="shared" si="0"/>
        <v>2250000</v>
      </c>
      <c r="K55" s="21"/>
    </row>
    <row r="56" spans="1:11" s="8" customFormat="1" ht="18" customHeight="1">
      <c r="A56" s="16">
        <v>50</v>
      </c>
      <c r="B56" s="35" t="str">
        <f>RIGHT("a10050297",LEN("a10050297")-1)</f>
        <v>10050297</v>
      </c>
      <c r="C56" s="36" t="s">
        <v>61</v>
      </c>
      <c r="D56" s="35" t="str">
        <f>RIGHT("a02/04/1992",LEN("a02/04/1992")-1)</f>
        <v>02/04/1992</v>
      </c>
      <c r="E56" s="37" t="s">
        <v>54</v>
      </c>
      <c r="F56" s="37">
        <v>3.66</v>
      </c>
      <c r="G56" s="37">
        <v>97</v>
      </c>
      <c r="H56" s="37" t="s">
        <v>12</v>
      </c>
      <c r="I56" s="17">
        <v>480000</v>
      </c>
      <c r="J56" s="18">
        <f t="shared" si="0"/>
        <v>2400000</v>
      </c>
      <c r="K56" s="21"/>
    </row>
    <row r="57" spans="1:11" s="8" customFormat="1" ht="18" customHeight="1">
      <c r="A57" s="16">
        <v>51</v>
      </c>
      <c r="B57" s="35" t="str">
        <f>RIGHT("a10050029",LEN("a10050029")-1)</f>
        <v>10050029</v>
      </c>
      <c r="C57" s="36" t="s">
        <v>62</v>
      </c>
      <c r="D57" s="35" t="str">
        <f>RIGHT("a16/01/1992",LEN("a16/01/1992")-1)</f>
        <v>16/01/1992</v>
      </c>
      <c r="E57" s="37" t="s">
        <v>54</v>
      </c>
      <c r="F57" s="37">
        <v>3.65</v>
      </c>
      <c r="G57" s="37">
        <v>97</v>
      </c>
      <c r="H57" s="37" t="s">
        <v>12</v>
      </c>
      <c r="I57" s="17">
        <v>480000</v>
      </c>
      <c r="J57" s="18">
        <f t="shared" si="0"/>
        <v>2400000</v>
      </c>
      <c r="K57" s="21"/>
    </row>
    <row r="58" spans="1:11" s="8" customFormat="1" ht="18" customHeight="1">
      <c r="A58" s="16">
        <v>52</v>
      </c>
      <c r="B58" s="35" t="str">
        <f>RIGHT("a11050364",LEN("a11050364")-1)</f>
        <v>11050364</v>
      </c>
      <c r="C58" s="36" t="s">
        <v>63</v>
      </c>
      <c r="D58" s="35" t="str">
        <f>RIGHT("a28/02/1993",LEN("a28/02/1993")-1)</f>
        <v>28/02/1993</v>
      </c>
      <c r="E58" s="37" t="s">
        <v>64</v>
      </c>
      <c r="F58" s="37">
        <v>3.72</v>
      </c>
      <c r="G58" s="37">
        <v>91</v>
      </c>
      <c r="H58" s="37" t="s">
        <v>12</v>
      </c>
      <c r="I58" s="17">
        <v>480000</v>
      </c>
      <c r="J58" s="18">
        <f t="shared" si="0"/>
        <v>2400000</v>
      </c>
      <c r="K58" s="21"/>
    </row>
    <row r="59" spans="1:11" s="8" customFormat="1" ht="18" customHeight="1">
      <c r="A59" s="16">
        <v>53</v>
      </c>
      <c r="B59" s="35" t="str">
        <f>RIGHT("a11050052",LEN("a11050052")-1)</f>
        <v>11050052</v>
      </c>
      <c r="C59" s="36" t="s">
        <v>65</v>
      </c>
      <c r="D59" s="35" t="str">
        <f>RIGHT("a08/12/1993",LEN("a08/12/1993")-1)</f>
        <v>08/12/1993</v>
      </c>
      <c r="E59" s="37" t="s">
        <v>64</v>
      </c>
      <c r="F59" s="37">
        <v>3.64</v>
      </c>
      <c r="G59" s="37">
        <v>91</v>
      </c>
      <c r="H59" s="37" t="s">
        <v>12</v>
      </c>
      <c r="I59" s="17">
        <v>480000</v>
      </c>
      <c r="J59" s="18">
        <f t="shared" si="0"/>
        <v>2400000</v>
      </c>
      <c r="K59" s="21"/>
    </row>
    <row r="60" spans="1:11" s="8" customFormat="1" ht="18" customHeight="1">
      <c r="A60" s="16">
        <v>54</v>
      </c>
      <c r="B60" s="35" t="str">
        <f>RIGHT("a11050165",LEN("a11050165")-1)</f>
        <v>11050165</v>
      </c>
      <c r="C60" s="36" t="s">
        <v>66</v>
      </c>
      <c r="D60" s="35" t="str">
        <f>RIGHT("a21/04/1993",LEN("a21/04/1993")-1)</f>
        <v>21/04/1993</v>
      </c>
      <c r="E60" s="37" t="s">
        <v>64</v>
      </c>
      <c r="F60" s="37">
        <v>3.61</v>
      </c>
      <c r="G60" s="37">
        <v>91</v>
      </c>
      <c r="H60" s="37" t="s">
        <v>12</v>
      </c>
      <c r="I60" s="17">
        <v>480000</v>
      </c>
      <c r="J60" s="18">
        <f t="shared" si="0"/>
        <v>2400000</v>
      </c>
      <c r="K60" s="21"/>
    </row>
    <row r="61" spans="1:11" s="8" customFormat="1" ht="18" customHeight="1">
      <c r="A61" s="16">
        <v>55</v>
      </c>
      <c r="B61" s="35" t="str">
        <f>RIGHT("a11050373",LEN("a11050373")-1)</f>
        <v>11050373</v>
      </c>
      <c r="C61" s="36" t="s">
        <v>67</v>
      </c>
      <c r="D61" s="35" t="str">
        <f>RIGHT("a22/05/1993",LEN("a22/05/1993")-1)</f>
        <v>22/05/1993</v>
      </c>
      <c r="E61" s="37" t="s">
        <v>64</v>
      </c>
      <c r="F61" s="37">
        <v>3.57</v>
      </c>
      <c r="G61" s="37">
        <v>91</v>
      </c>
      <c r="H61" s="37" t="s">
        <v>11</v>
      </c>
      <c r="I61" s="17">
        <v>450000</v>
      </c>
      <c r="J61" s="18">
        <f t="shared" si="0"/>
        <v>2250000</v>
      </c>
      <c r="K61" s="21"/>
    </row>
    <row r="62" spans="1:11" s="8" customFormat="1" ht="18" customHeight="1">
      <c r="A62" s="16">
        <v>56</v>
      </c>
      <c r="B62" s="35" t="str">
        <f>RIGHT("a11050263",LEN("a11050263")-1)</f>
        <v>11050263</v>
      </c>
      <c r="C62" s="36" t="s">
        <v>68</v>
      </c>
      <c r="D62" s="35" t="str">
        <f>RIGHT("a26/08/1993",LEN("a26/08/1993")-1)</f>
        <v>26/08/1993</v>
      </c>
      <c r="E62" s="37" t="s">
        <v>69</v>
      </c>
      <c r="F62" s="37">
        <v>3.54</v>
      </c>
      <c r="G62" s="37">
        <v>89</v>
      </c>
      <c r="H62" s="37" t="s">
        <v>11</v>
      </c>
      <c r="I62" s="17">
        <v>450000</v>
      </c>
      <c r="J62" s="18">
        <f t="shared" si="0"/>
        <v>2250000</v>
      </c>
      <c r="K62" s="21"/>
    </row>
    <row r="63" spans="1:11" s="8" customFormat="1" ht="18" customHeight="1">
      <c r="A63" s="16">
        <v>57</v>
      </c>
      <c r="B63" s="35" t="str">
        <f>RIGHT("a11050259",LEN("a11050259")-1)</f>
        <v>11050259</v>
      </c>
      <c r="C63" s="36" t="s">
        <v>70</v>
      </c>
      <c r="D63" s="35" t="str">
        <f>RIGHT("a04/10/1993",LEN("a04/10/1993")-1)</f>
        <v>04/10/1993</v>
      </c>
      <c r="E63" s="37" t="s">
        <v>69</v>
      </c>
      <c r="F63" s="37">
        <v>3.54</v>
      </c>
      <c r="G63" s="37">
        <v>79</v>
      </c>
      <c r="H63" s="37" t="s">
        <v>10</v>
      </c>
      <c r="I63" s="17">
        <v>420000</v>
      </c>
      <c r="J63" s="18">
        <f t="shared" si="0"/>
        <v>2100000</v>
      </c>
      <c r="K63" s="21"/>
    </row>
    <row r="64" spans="1:11" s="8" customFormat="1" ht="18" customHeight="1">
      <c r="A64" s="16">
        <v>58</v>
      </c>
      <c r="B64" s="35" t="str">
        <f>RIGHT("a11050247",LEN("a11050247")-1)</f>
        <v>11050247</v>
      </c>
      <c r="C64" s="36" t="s">
        <v>71</v>
      </c>
      <c r="D64" s="35" t="str">
        <f>RIGHT("a28/07/1993",LEN("a28/07/1993")-1)</f>
        <v>28/07/1993</v>
      </c>
      <c r="E64" s="37" t="s">
        <v>69</v>
      </c>
      <c r="F64" s="37">
        <v>3.48</v>
      </c>
      <c r="G64" s="37">
        <v>77</v>
      </c>
      <c r="H64" s="37" t="s">
        <v>10</v>
      </c>
      <c r="I64" s="17">
        <v>420000</v>
      </c>
      <c r="J64" s="18">
        <f t="shared" si="0"/>
        <v>2100000</v>
      </c>
      <c r="K64" s="21"/>
    </row>
    <row r="65" spans="1:11" s="8" customFormat="1" ht="18" customHeight="1">
      <c r="A65" s="16">
        <v>59</v>
      </c>
      <c r="B65" s="35" t="str">
        <f>RIGHT("a11050272",LEN("a11050272")-1)</f>
        <v>11050272</v>
      </c>
      <c r="C65" s="36" t="s">
        <v>72</v>
      </c>
      <c r="D65" s="35" t="str">
        <f>RIGHT("a13/04/1993",LEN("a13/04/1993")-1)</f>
        <v>13/04/1993</v>
      </c>
      <c r="E65" s="37" t="s">
        <v>69</v>
      </c>
      <c r="F65" s="37">
        <v>3.46</v>
      </c>
      <c r="G65" s="37">
        <v>79</v>
      </c>
      <c r="H65" s="37" t="s">
        <v>10</v>
      </c>
      <c r="I65" s="17">
        <v>420000</v>
      </c>
      <c r="J65" s="18">
        <f t="shared" si="0"/>
        <v>2100000</v>
      </c>
      <c r="K65" s="21"/>
    </row>
    <row r="66" spans="1:11" s="8" customFormat="1" ht="18" customHeight="1">
      <c r="A66" s="16">
        <v>60</v>
      </c>
      <c r="B66" s="35" t="str">
        <f>RIGHT("a11050275",LEN("a11050275")-1)</f>
        <v>11050275</v>
      </c>
      <c r="C66" s="36" t="s">
        <v>73</v>
      </c>
      <c r="D66" s="35" t="str">
        <f>RIGHT("a15/06/1993",LEN("a15/06/1993")-1)</f>
        <v>15/06/1993</v>
      </c>
      <c r="E66" s="37" t="s">
        <v>69</v>
      </c>
      <c r="F66" s="37">
        <v>3.46</v>
      </c>
      <c r="G66" s="37">
        <v>79</v>
      </c>
      <c r="H66" s="37" t="s">
        <v>10</v>
      </c>
      <c r="I66" s="17">
        <v>420000</v>
      </c>
      <c r="J66" s="18">
        <f t="shared" si="0"/>
        <v>2100000</v>
      </c>
      <c r="K66" s="21"/>
    </row>
    <row r="67" spans="1:11" s="8" customFormat="1" ht="18" customHeight="1">
      <c r="A67" s="16">
        <v>61</v>
      </c>
      <c r="B67" s="35" t="str">
        <f>RIGHT("a11050300",LEN("a11050300")-1)</f>
        <v>11050300</v>
      </c>
      <c r="C67" s="36" t="s">
        <v>74</v>
      </c>
      <c r="D67" s="35" t="str">
        <f>RIGHT("a02/04/1993",LEN("a02/04/1993")-1)</f>
        <v>02/04/1993</v>
      </c>
      <c r="E67" s="37" t="s">
        <v>75</v>
      </c>
      <c r="F67" s="37">
        <v>3.61</v>
      </c>
      <c r="G67" s="37">
        <v>77</v>
      </c>
      <c r="H67" s="37" t="s">
        <v>10</v>
      </c>
      <c r="I67" s="17">
        <v>420000</v>
      </c>
      <c r="J67" s="18">
        <f t="shared" si="0"/>
        <v>2100000</v>
      </c>
      <c r="K67" s="21"/>
    </row>
    <row r="68" spans="1:11" s="8" customFormat="1" ht="18" customHeight="1">
      <c r="A68" s="16">
        <v>62</v>
      </c>
      <c r="B68" s="35" t="str">
        <f>RIGHT("a11050286",LEN("a11050286")-1)</f>
        <v>11050286</v>
      </c>
      <c r="C68" s="36" t="s">
        <v>76</v>
      </c>
      <c r="D68" s="35" t="str">
        <f>RIGHT("a22/08/1993",LEN("a22/08/1993")-1)</f>
        <v>22/08/1993</v>
      </c>
      <c r="E68" s="37" t="s">
        <v>75</v>
      </c>
      <c r="F68" s="37">
        <v>3.43</v>
      </c>
      <c r="G68" s="37">
        <v>75</v>
      </c>
      <c r="H68" s="37" t="s">
        <v>10</v>
      </c>
      <c r="I68" s="17">
        <v>420000</v>
      </c>
      <c r="J68" s="18">
        <f t="shared" si="0"/>
        <v>2100000</v>
      </c>
      <c r="K68" s="21"/>
    </row>
    <row r="69" spans="1:11" s="8" customFormat="1" ht="18" customHeight="1">
      <c r="A69" s="16">
        <v>63</v>
      </c>
      <c r="B69" s="35" t="str">
        <f>RIGHT("a11050048",LEN("a11050048")-1)</f>
        <v>11050048</v>
      </c>
      <c r="C69" s="36" t="s">
        <v>77</v>
      </c>
      <c r="D69" s="35" t="str">
        <f>RIGHT("a26/12/1993",LEN("a26/12/1993")-1)</f>
        <v>26/12/1993</v>
      </c>
      <c r="E69" s="37" t="s">
        <v>75</v>
      </c>
      <c r="F69" s="37">
        <v>3.38</v>
      </c>
      <c r="G69" s="37">
        <v>72</v>
      </c>
      <c r="H69" s="37" t="s">
        <v>10</v>
      </c>
      <c r="I69" s="17">
        <v>420000</v>
      </c>
      <c r="J69" s="18">
        <f t="shared" si="0"/>
        <v>2100000</v>
      </c>
      <c r="K69" s="21"/>
    </row>
    <row r="70" spans="1:11" s="8" customFormat="1" ht="18" customHeight="1">
      <c r="A70" s="16">
        <v>64</v>
      </c>
      <c r="B70" s="35" t="str">
        <f>RIGHT("a11050319",LEN("a11050319")-1)</f>
        <v>11050319</v>
      </c>
      <c r="C70" s="36" t="s">
        <v>78</v>
      </c>
      <c r="D70" s="35" t="str">
        <f>RIGHT("a22/06/1993",LEN("a22/06/1993")-1)</f>
        <v>22/06/1993</v>
      </c>
      <c r="E70" s="37" t="s">
        <v>75</v>
      </c>
      <c r="F70" s="37">
        <v>3.33</v>
      </c>
      <c r="G70" s="37">
        <v>72</v>
      </c>
      <c r="H70" s="37" t="s">
        <v>10</v>
      </c>
      <c r="I70" s="17">
        <v>420000</v>
      </c>
      <c r="J70" s="18">
        <f t="shared" si="0"/>
        <v>2100000</v>
      </c>
      <c r="K70" s="21"/>
    </row>
    <row r="71" spans="1:11" s="8" customFormat="1" ht="18" customHeight="1">
      <c r="A71" s="16">
        <v>65</v>
      </c>
      <c r="B71" s="35" t="str">
        <f>RIGHT("a11050280",LEN("a11050280")-1)</f>
        <v>11050280</v>
      </c>
      <c r="C71" s="36" t="s">
        <v>79</v>
      </c>
      <c r="D71" s="35" t="str">
        <f>RIGHT("a10/10/1993",LEN("a10/10/1993")-1)</f>
        <v>10/10/1993</v>
      </c>
      <c r="E71" s="37" t="s">
        <v>75</v>
      </c>
      <c r="F71" s="37">
        <v>3.26</v>
      </c>
      <c r="G71" s="37">
        <v>75</v>
      </c>
      <c r="H71" s="37" t="s">
        <v>10</v>
      </c>
      <c r="I71" s="17">
        <v>420000</v>
      </c>
      <c r="J71" s="18">
        <f t="shared" si="0"/>
        <v>2100000</v>
      </c>
      <c r="K71" s="21"/>
    </row>
    <row r="72" spans="1:11" s="8" customFormat="1" ht="18" customHeight="1">
      <c r="A72" s="16">
        <v>66</v>
      </c>
      <c r="B72" s="35" t="str">
        <f>RIGHT("a11050416",LEN("a11050416")-1)</f>
        <v>11050416</v>
      </c>
      <c r="C72" s="36" t="s">
        <v>80</v>
      </c>
      <c r="D72" s="35" t="str">
        <f>RIGHT("a17/11/1993",LEN("a17/11/1993")-1)</f>
        <v>17/11/1993</v>
      </c>
      <c r="E72" s="37" t="s">
        <v>81</v>
      </c>
      <c r="F72" s="37">
        <v>3.85</v>
      </c>
      <c r="G72" s="37">
        <v>91</v>
      </c>
      <c r="H72" s="37" t="s">
        <v>12</v>
      </c>
      <c r="I72" s="17">
        <v>480000</v>
      </c>
      <c r="J72" s="18">
        <f aca="true" t="shared" si="1" ref="J72:J114">I72*5</f>
        <v>2400000</v>
      </c>
      <c r="K72" s="21"/>
    </row>
    <row r="73" spans="1:11" s="8" customFormat="1" ht="18" customHeight="1">
      <c r="A73" s="16">
        <v>67</v>
      </c>
      <c r="B73" s="35" t="str">
        <f>RIGHT("a11050134",LEN("a11050134")-1)</f>
        <v>11050134</v>
      </c>
      <c r="C73" s="36" t="s">
        <v>82</v>
      </c>
      <c r="D73" s="35" t="str">
        <f>RIGHT("a02/02/1993",LEN("a02/02/1993")-1)</f>
        <v>02/02/1993</v>
      </c>
      <c r="E73" s="37" t="s">
        <v>81</v>
      </c>
      <c r="F73" s="37">
        <v>3.66</v>
      </c>
      <c r="G73" s="37">
        <v>94</v>
      </c>
      <c r="H73" s="37" t="s">
        <v>12</v>
      </c>
      <c r="I73" s="17">
        <v>480000</v>
      </c>
      <c r="J73" s="18">
        <f t="shared" si="1"/>
        <v>2400000</v>
      </c>
      <c r="K73" s="21"/>
    </row>
    <row r="74" spans="1:11" s="8" customFormat="1" ht="18" customHeight="1">
      <c r="A74" s="16">
        <v>68</v>
      </c>
      <c r="B74" s="35" t="str">
        <f>RIGHT("a11050188",LEN("a11050188")-1)</f>
        <v>11050188</v>
      </c>
      <c r="C74" s="36" t="s">
        <v>83</v>
      </c>
      <c r="D74" s="35" t="str">
        <f>RIGHT("a02/01/1993",LEN("a02/01/1993")-1)</f>
        <v>02/01/1993</v>
      </c>
      <c r="E74" s="37" t="s">
        <v>81</v>
      </c>
      <c r="F74" s="37">
        <v>3.64</v>
      </c>
      <c r="G74" s="37">
        <v>84</v>
      </c>
      <c r="H74" s="37" t="s">
        <v>11</v>
      </c>
      <c r="I74" s="17">
        <v>450000</v>
      </c>
      <c r="J74" s="18">
        <f t="shared" si="1"/>
        <v>2250000</v>
      </c>
      <c r="K74" s="21"/>
    </row>
    <row r="75" spans="1:11" s="8" customFormat="1" ht="18" customHeight="1">
      <c r="A75" s="16">
        <v>69</v>
      </c>
      <c r="B75" s="35" t="str">
        <f>RIGHT("a11050318",LEN("a11050318")-1)</f>
        <v>11050318</v>
      </c>
      <c r="C75" s="36" t="s">
        <v>84</v>
      </c>
      <c r="D75" s="35" t="str">
        <f>RIGHT("a15/07/1993",LEN("a15/07/1993")-1)</f>
        <v>15/07/1993</v>
      </c>
      <c r="E75" s="37" t="s">
        <v>81</v>
      </c>
      <c r="F75" s="37">
        <v>3.56</v>
      </c>
      <c r="G75" s="37">
        <v>79</v>
      </c>
      <c r="H75" s="37" t="s">
        <v>10</v>
      </c>
      <c r="I75" s="17">
        <v>420000</v>
      </c>
      <c r="J75" s="18">
        <f t="shared" si="1"/>
        <v>2100000</v>
      </c>
      <c r="K75" s="21"/>
    </row>
    <row r="76" spans="1:11" s="8" customFormat="1" ht="18" customHeight="1">
      <c r="A76" s="16">
        <v>70</v>
      </c>
      <c r="B76" s="35" t="str">
        <f>RIGHT("a11050190",LEN("a11050190")-1)</f>
        <v>11050190</v>
      </c>
      <c r="C76" s="36" t="s">
        <v>85</v>
      </c>
      <c r="D76" s="35" t="str">
        <f>RIGHT("a11/12/1993",LEN("a11/12/1993")-1)</f>
        <v>11/12/1993</v>
      </c>
      <c r="E76" s="37" t="s">
        <v>81</v>
      </c>
      <c r="F76" s="37">
        <v>3.51</v>
      </c>
      <c r="G76" s="37">
        <v>92</v>
      </c>
      <c r="H76" s="37" t="s">
        <v>11</v>
      </c>
      <c r="I76" s="17">
        <v>450000</v>
      </c>
      <c r="J76" s="18">
        <f t="shared" si="1"/>
        <v>2250000</v>
      </c>
      <c r="K76" s="21"/>
    </row>
    <row r="77" spans="1:11" s="8" customFormat="1" ht="18" customHeight="1">
      <c r="A77" s="16">
        <v>71</v>
      </c>
      <c r="B77" s="35" t="str">
        <f>RIGHT("a11050070",LEN("a11050070")-1)</f>
        <v>11050070</v>
      </c>
      <c r="C77" s="36" t="s">
        <v>86</v>
      </c>
      <c r="D77" s="35" t="str">
        <f>RIGHT("a21/08/1993",LEN("a21/08/1993")-1)</f>
        <v>21/08/1993</v>
      </c>
      <c r="E77" s="37" t="s">
        <v>81</v>
      </c>
      <c r="F77" s="37">
        <v>3.51</v>
      </c>
      <c r="G77" s="37">
        <v>89</v>
      </c>
      <c r="H77" s="37" t="s">
        <v>11</v>
      </c>
      <c r="I77" s="17">
        <v>450000</v>
      </c>
      <c r="J77" s="18">
        <f t="shared" si="1"/>
        <v>2250000</v>
      </c>
      <c r="K77" s="21"/>
    </row>
    <row r="78" spans="1:11" s="8" customFormat="1" ht="18" customHeight="1">
      <c r="A78" s="16">
        <v>72</v>
      </c>
      <c r="B78" s="35" t="str">
        <f>RIGHT("a11050077",LEN("a11050077")-1)</f>
        <v>11050077</v>
      </c>
      <c r="C78" s="36" t="s">
        <v>87</v>
      </c>
      <c r="D78" s="35" t="str">
        <f>RIGHT("a05/12/1993",LEN("a05/12/1993")-1)</f>
        <v>05/12/1993</v>
      </c>
      <c r="E78" s="37" t="s">
        <v>88</v>
      </c>
      <c r="F78" s="37">
        <v>3.83</v>
      </c>
      <c r="G78" s="37">
        <v>91</v>
      </c>
      <c r="H78" s="37" t="s">
        <v>12</v>
      </c>
      <c r="I78" s="17">
        <v>480000</v>
      </c>
      <c r="J78" s="18">
        <f t="shared" si="1"/>
        <v>2400000</v>
      </c>
      <c r="K78" s="21"/>
    </row>
    <row r="79" spans="1:11" s="8" customFormat="1" ht="18" customHeight="1">
      <c r="A79" s="16">
        <v>73</v>
      </c>
      <c r="B79" s="35" t="str">
        <f>RIGHT("a11050160",LEN("a11050160")-1)</f>
        <v>11050160</v>
      </c>
      <c r="C79" s="36" t="s">
        <v>89</v>
      </c>
      <c r="D79" s="35" t="str">
        <f>RIGHT("a06/03/1993",LEN("a06/03/1993")-1)</f>
        <v>06/03/1993</v>
      </c>
      <c r="E79" s="37" t="s">
        <v>88</v>
      </c>
      <c r="F79" s="37">
        <v>3.7</v>
      </c>
      <c r="G79" s="37">
        <v>81</v>
      </c>
      <c r="H79" s="37" t="s">
        <v>11</v>
      </c>
      <c r="I79" s="17">
        <v>450000</v>
      </c>
      <c r="J79" s="18">
        <f t="shared" si="1"/>
        <v>2250000</v>
      </c>
      <c r="K79" s="21"/>
    </row>
    <row r="80" spans="1:11" s="8" customFormat="1" ht="18" customHeight="1">
      <c r="A80" s="16">
        <v>74</v>
      </c>
      <c r="B80" s="35" t="str">
        <f>RIGHT("a11050184",LEN("a11050184")-1)</f>
        <v>11050184</v>
      </c>
      <c r="C80" s="36" t="s">
        <v>90</v>
      </c>
      <c r="D80" s="35" t="str">
        <f>RIGHT("a28/11/1993",LEN("a28/11/1993")-1)</f>
        <v>28/11/1993</v>
      </c>
      <c r="E80" s="37" t="s">
        <v>88</v>
      </c>
      <c r="F80" s="37">
        <v>3.69</v>
      </c>
      <c r="G80" s="37">
        <v>84</v>
      </c>
      <c r="H80" s="37" t="s">
        <v>11</v>
      </c>
      <c r="I80" s="17">
        <v>450000</v>
      </c>
      <c r="J80" s="18">
        <f t="shared" si="1"/>
        <v>2250000</v>
      </c>
      <c r="K80" s="21"/>
    </row>
    <row r="81" spans="1:11" s="8" customFormat="1" ht="18" customHeight="1">
      <c r="A81" s="16">
        <v>75</v>
      </c>
      <c r="B81" s="35" t="str">
        <f>RIGHT("a11050378",LEN("a11050378")-1)</f>
        <v>11050378</v>
      </c>
      <c r="C81" s="36" t="s">
        <v>91</v>
      </c>
      <c r="D81" s="35" t="str">
        <f>RIGHT("a29/08/1993",LEN("a29/08/1993")-1)</f>
        <v>29/08/1993</v>
      </c>
      <c r="E81" s="37" t="s">
        <v>88</v>
      </c>
      <c r="F81" s="37">
        <v>3.67</v>
      </c>
      <c r="G81" s="37">
        <v>89</v>
      </c>
      <c r="H81" s="37" t="s">
        <v>11</v>
      </c>
      <c r="I81" s="17">
        <v>450000</v>
      </c>
      <c r="J81" s="18">
        <f t="shared" si="1"/>
        <v>2250000</v>
      </c>
      <c r="K81" s="21"/>
    </row>
    <row r="82" spans="1:11" s="8" customFormat="1" ht="18" customHeight="1">
      <c r="A82" s="16">
        <v>76</v>
      </c>
      <c r="B82" s="35" t="str">
        <f>RIGHT("a11050104",LEN("a11050104")-1)</f>
        <v>11050104</v>
      </c>
      <c r="C82" s="36" t="s">
        <v>92</v>
      </c>
      <c r="D82" s="35" t="str">
        <f>RIGHT("a17/05/1993",LEN("a17/05/1993")-1)</f>
        <v>17/05/1993</v>
      </c>
      <c r="E82" s="37" t="s">
        <v>88</v>
      </c>
      <c r="F82" s="37">
        <v>3.63</v>
      </c>
      <c r="G82" s="37">
        <v>81</v>
      </c>
      <c r="H82" s="37" t="s">
        <v>11</v>
      </c>
      <c r="I82" s="17">
        <v>450000</v>
      </c>
      <c r="J82" s="18">
        <f t="shared" si="1"/>
        <v>2250000</v>
      </c>
      <c r="K82" s="21"/>
    </row>
    <row r="83" spans="1:11" s="8" customFormat="1" ht="18" customHeight="1">
      <c r="A83" s="16">
        <v>77</v>
      </c>
      <c r="B83" s="35" t="str">
        <f>RIGHT("a11050106",LEN("a11050106")-1)</f>
        <v>11050106</v>
      </c>
      <c r="C83" s="36" t="s">
        <v>93</v>
      </c>
      <c r="D83" s="35" t="str">
        <f>RIGHT("a14/11/1993",LEN("a14/11/1993")-1)</f>
        <v>14/11/1993</v>
      </c>
      <c r="E83" s="37" t="s">
        <v>88</v>
      </c>
      <c r="F83" s="37">
        <v>3.57</v>
      </c>
      <c r="G83" s="37">
        <v>91</v>
      </c>
      <c r="H83" s="37" t="s">
        <v>11</v>
      </c>
      <c r="I83" s="17">
        <v>450000</v>
      </c>
      <c r="J83" s="18">
        <f t="shared" si="1"/>
        <v>2250000</v>
      </c>
      <c r="K83" s="21"/>
    </row>
    <row r="84" spans="1:11" s="8" customFormat="1" ht="18" customHeight="1">
      <c r="A84" s="16">
        <v>78</v>
      </c>
      <c r="B84" s="35" t="str">
        <f>RIGHT("a12050135",LEN("a12050135")-1)</f>
        <v>12050135</v>
      </c>
      <c r="C84" s="36" t="s">
        <v>94</v>
      </c>
      <c r="D84" s="35" t="str">
        <f>RIGHT("a02/04/1994",LEN("a02/04/1994")-1)</f>
        <v>02/04/1994</v>
      </c>
      <c r="E84" s="37" t="s">
        <v>95</v>
      </c>
      <c r="F84" s="37">
        <v>3.62</v>
      </c>
      <c r="G84" s="37">
        <v>76</v>
      </c>
      <c r="H84" s="37" t="s">
        <v>10</v>
      </c>
      <c r="I84" s="17">
        <v>420000</v>
      </c>
      <c r="J84" s="18">
        <f t="shared" si="1"/>
        <v>2100000</v>
      </c>
      <c r="K84" s="21"/>
    </row>
    <row r="85" spans="1:11" s="8" customFormat="1" ht="18" customHeight="1">
      <c r="A85" s="16">
        <v>79</v>
      </c>
      <c r="B85" s="35" t="str">
        <f>RIGHT("a12050014",LEN("a12050014")-1)</f>
        <v>12050014</v>
      </c>
      <c r="C85" s="36" t="s">
        <v>96</v>
      </c>
      <c r="D85" s="35" t="str">
        <f>RIGHT("a13/10/1994",LEN("a13/10/1994")-1)</f>
        <v>13/10/1994</v>
      </c>
      <c r="E85" s="37" t="s">
        <v>95</v>
      </c>
      <c r="F85" s="37">
        <v>3.61</v>
      </c>
      <c r="G85" s="37">
        <v>76</v>
      </c>
      <c r="H85" s="37" t="s">
        <v>10</v>
      </c>
      <c r="I85" s="17">
        <v>420000</v>
      </c>
      <c r="J85" s="18">
        <f t="shared" si="1"/>
        <v>2100000</v>
      </c>
      <c r="K85" s="21"/>
    </row>
    <row r="86" spans="1:11" s="8" customFormat="1" ht="18" customHeight="1">
      <c r="A86" s="16">
        <v>80</v>
      </c>
      <c r="B86" s="35" t="str">
        <f>RIGHT("a12050220",LEN("a12050220")-1)</f>
        <v>12050220</v>
      </c>
      <c r="C86" s="36" t="s">
        <v>97</v>
      </c>
      <c r="D86" s="35" t="str">
        <f>RIGHT("a21/01/1994",LEN("a21/01/1994")-1)</f>
        <v>21/01/1994</v>
      </c>
      <c r="E86" s="37" t="s">
        <v>95</v>
      </c>
      <c r="F86" s="37">
        <v>3.6</v>
      </c>
      <c r="G86" s="37">
        <v>76</v>
      </c>
      <c r="H86" s="37" t="s">
        <v>10</v>
      </c>
      <c r="I86" s="17">
        <v>420000</v>
      </c>
      <c r="J86" s="18">
        <f t="shared" si="1"/>
        <v>2100000</v>
      </c>
      <c r="K86" s="21"/>
    </row>
    <row r="87" spans="1:11" s="8" customFormat="1" ht="18" customHeight="1">
      <c r="A87" s="16">
        <v>81</v>
      </c>
      <c r="B87" s="35" t="str">
        <f>RIGHT("a12050593",LEN("a12050593")-1)</f>
        <v>12050593</v>
      </c>
      <c r="C87" s="36" t="s">
        <v>98</v>
      </c>
      <c r="D87" s="35" t="str">
        <f>RIGHT("a11/12/1994",LEN("a11/12/1994")-1)</f>
        <v>11/12/1994</v>
      </c>
      <c r="E87" s="37" t="s">
        <v>95</v>
      </c>
      <c r="F87" s="37">
        <v>3.54</v>
      </c>
      <c r="G87" s="37">
        <v>79</v>
      </c>
      <c r="H87" s="37" t="s">
        <v>10</v>
      </c>
      <c r="I87" s="17">
        <v>420000</v>
      </c>
      <c r="J87" s="18">
        <f t="shared" si="1"/>
        <v>2100000</v>
      </c>
      <c r="K87" s="21"/>
    </row>
    <row r="88" spans="1:11" s="8" customFormat="1" ht="18" customHeight="1">
      <c r="A88" s="16">
        <v>82</v>
      </c>
      <c r="B88" s="35" t="str">
        <f>RIGHT("a12050039",LEN("a12050039")-1)</f>
        <v>12050039</v>
      </c>
      <c r="C88" s="36" t="s">
        <v>99</v>
      </c>
      <c r="D88" s="35" t="str">
        <f>RIGHT("a10/11/1994",LEN("a10/11/1994")-1)</f>
        <v>10/11/1994</v>
      </c>
      <c r="E88" s="37" t="s">
        <v>95</v>
      </c>
      <c r="F88" s="37">
        <v>3.52</v>
      </c>
      <c r="G88" s="37">
        <v>89</v>
      </c>
      <c r="H88" s="37" t="s">
        <v>11</v>
      </c>
      <c r="I88" s="17">
        <v>450000</v>
      </c>
      <c r="J88" s="18">
        <f t="shared" si="1"/>
        <v>2250000</v>
      </c>
      <c r="K88" s="21"/>
    </row>
    <row r="89" spans="1:11" s="8" customFormat="1" ht="18" customHeight="1">
      <c r="A89" s="16">
        <v>83</v>
      </c>
      <c r="B89" s="35" t="str">
        <f>RIGHT("a12050105",LEN("a12050105")-1)</f>
        <v>12050105</v>
      </c>
      <c r="C89" s="36" t="s">
        <v>100</v>
      </c>
      <c r="D89" s="35" t="str">
        <f>RIGHT("a04/04/1994",LEN("a04/04/1994")-1)</f>
        <v>04/04/1994</v>
      </c>
      <c r="E89" s="37" t="s">
        <v>95</v>
      </c>
      <c r="F89" s="37">
        <v>3.52</v>
      </c>
      <c r="G89" s="37">
        <v>79</v>
      </c>
      <c r="H89" s="37" t="s">
        <v>10</v>
      </c>
      <c r="I89" s="17">
        <v>420000</v>
      </c>
      <c r="J89" s="18">
        <f t="shared" si="1"/>
        <v>2100000</v>
      </c>
      <c r="K89" s="21"/>
    </row>
    <row r="90" spans="1:11" s="8" customFormat="1" ht="18" customHeight="1">
      <c r="A90" s="16">
        <v>84</v>
      </c>
      <c r="B90" s="35" t="str">
        <f>RIGHT("a12050144",LEN("a12050144")-1)</f>
        <v>12050144</v>
      </c>
      <c r="C90" s="36" t="s">
        <v>101</v>
      </c>
      <c r="D90" s="35" t="str">
        <f>RIGHT("a10/08/1994",LEN("a10/08/1994")-1)</f>
        <v>10/08/1994</v>
      </c>
      <c r="E90" s="37" t="s">
        <v>102</v>
      </c>
      <c r="F90" s="37">
        <v>3.7</v>
      </c>
      <c r="G90" s="37">
        <v>81</v>
      </c>
      <c r="H90" s="37" t="s">
        <v>11</v>
      </c>
      <c r="I90" s="17">
        <v>450000</v>
      </c>
      <c r="J90" s="18">
        <f t="shared" si="1"/>
        <v>2250000</v>
      </c>
      <c r="K90" s="21"/>
    </row>
    <row r="91" spans="1:11" s="8" customFormat="1" ht="18" customHeight="1">
      <c r="A91" s="16">
        <v>85</v>
      </c>
      <c r="B91" s="35" t="str">
        <f>RIGHT("a12050613",LEN("a12050613")-1)</f>
        <v>12050613</v>
      </c>
      <c r="C91" s="36" t="s">
        <v>103</v>
      </c>
      <c r="D91" s="35" t="str">
        <f>RIGHT("a10/07/1994",LEN("a10/07/1994")-1)</f>
        <v>10/07/1994</v>
      </c>
      <c r="E91" s="37" t="s">
        <v>102</v>
      </c>
      <c r="F91" s="37">
        <v>3.52</v>
      </c>
      <c r="G91" s="37">
        <v>79</v>
      </c>
      <c r="H91" s="37" t="s">
        <v>10</v>
      </c>
      <c r="I91" s="17">
        <v>420000</v>
      </c>
      <c r="J91" s="18">
        <f t="shared" si="1"/>
        <v>2100000</v>
      </c>
      <c r="K91" s="21"/>
    </row>
    <row r="92" spans="1:11" s="8" customFormat="1" ht="18" customHeight="1">
      <c r="A92" s="16">
        <v>86</v>
      </c>
      <c r="B92" s="35" t="str">
        <f>RIGHT("a12050015",LEN("a12050015")-1)</f>
        <v>12050015</v>
      </c>
      <c r="C92" s="36" t="s">
        <v>104</v>
      </c>
      <c r="D92" s="35" t="str">
        <f>RIGHT("a09/05/1993",LEN("a09/05/1993")-1)</f>
        <v>09/05/1993</v>
      </c>
      <c r="E92" s="37" t="s">
        <v>102</v>
      </c>
      <c r="F92" s="37">
        <v>3.51</v>
      </c>
      <c r="G92" s="37">
        <v>77</v>
      </c>
      <c r="H92" s="37" t="s">
        <v>10</v>
      </c>
      <c r="I92" s="17">
        <v>420000</v>
      </c>
      <c r="J92" s="18">
        <f t="shared" si="1"/>
        <v>2100000</v>
      </c>
      <c r="K92" s="21"/>
    </row>
    <row r="93" spans="1:11" s="8" customFormat="1" ht="18" customHeight="1">
      <c r="A93" s="16">
        <v>87</v>
      </c>
      <c r="B93" s="35" t="str">
        <f>RIGHT("a12050212",LEN("a12050212")-1)</f>
        <v>12050212</v>
      </c>
      <c r="C93" s="36" t="s">
        <v>105</v>
      </c>
      <c r="D93" s="35" t="str">
        <f>RIGHT("a26/12/1994",LEN("a26/12/1994")-1)</f>
        <v>26/12/1994</v>
      </c>
      <c r="E93" s="37" t="s">
        <v>102</v>
      </c>
      <c r="F93" s="37">
        <v>3.46</v>
      </c>
      <c r="G93" s="37">
        <v>79</v>
      </c>
      <c r="H93" s="37" t="s">
        <v>10</v>
      </c>
      <c r="I93" s="17">
        <v>420000</v>
      </c>
      <c r="J93" s="18">
        <f t="shared" si="1"/>
        <v>2100000</v>
      </c>
      <c r="K93" s="21"/>
    </row>
    <row r="94" spans="1:11" s="8" customFormat="1" ht="18" customHeight="1">
      <c r="A94" s="16">
        <v>88</v>
      </c>
      <c r="B94" s="35" t="str">
        <f>RIGHT("a12050552",LEN("a12050552")-1)</f>
        <v>12050552</v>
      </c>
      <c r="C94" s="36" t="s">
        <v>106</v>
      </c>
      <c r="D94" s="35" t="str">
        <f>RIGHT("a21/11/1994",LEN("a21/11/1994")-1)</f>
        <v>21/11/1994</v>
      </c>
      <c r="E94" s="37" t="s">
        <v>107</v>
      </c>
      <c r="F94" s="37">
        <v>3.6</v>
      </c>
      <c r="G94" s="37">
        <v>77</v>
      </c>
      <c r="H94" s="37" t="s">
        <v>10</v>
      </c>
      <c r="I94" s="17">
        <v>420000</v>
      </c>
      <c r="J94" s="18">
        <f t="shared" si="1"/>
        <v>2100000</v>
      </c>
      <c r="K94" s="21"/>
    </row>
    <row r="95" spans="1:11" s="8" customFormat="1" ht="18" customHeight="1">
      <c r="A95" s="16">
        <v>89</v>
      </c>
      <c r="B95" s="35" t="str">
        <f>RIGHT("a12050044",LEN("a12050044")-1)</f>
        <v>12050044</v>
      </c>
      <c r="C95" s="36" t="s">
        <v>108</v>
      </c>
      <c r="D95" s="35" t="str">
        <f>RIGHT("a18/07/1994",LEN("a18/07/1994")-1)</f>
        <v>18/07/1994</v>
      </c>
      <c r="E95" s="37" t="s">
        <v>107</v>
      </c>
      <c r="F95" s="37">
        <v>3.5</v>
      </c>
      <c r="G95" s="37">
        <v>77</v>
      </c>
      <c r="H95" s="37" t="s">
        <v>10</v>
      </c>
      <c r="I95" s="17">
        <v>420000</v>
      </c>
      <c r="J95" s="18">
        <f t="shared" si="1"/>
        <v>2100000</v>
      </c>
      <c r="K95" s="21"/>
    </row>
    <row r="96" spans="1:11" s="8" customFormat="1" ht="18" customHeight="1">
      <c r="A96" s="16">
        <v>90</v>
      </c>
      <c r="B96" s="35" t="str">
        <f>RIGHT("a12050660",LEN("a12050660")-1)</f>
        <v>12050660</v>
      </c>
      <c r="C96" s="36" t="s">
        <v>109</v>
      </c>
      <c r="D96" s="35" t="str">
        <f>RIGHT("a18/03/1993",LEN("a18/03/1993")-1)</f>
        <v>18/03/1993</v>
      </c>
      <c r="E96" s="37" t="s">
        <v>107</v>
      </c>
      <c r="F96" s="37">
        <v>3.4</v>
      </c>
      <c r="G96" s="37">
        <v>77</v>
      </c>
      <c r="H96" s="37" t="s">
        <v>10</v>
      </c>
      <c r="I96" s="17">
        <v>420000</v>
      </c>
      <c r="J96" s="18">
        <f t="shared" si="1"/>
        <v>2100000</v>
      </c>
      <c r="K96" s="21"/>
    </row>
    <row r="97" spans="1:11" s="8" customFormat="1" ht="18" customHeight="1">
      <c r="A97" s="16">
        <v>91</v>
      </c>
      <c r="B97" s="35" t="str">
        <f>RIGHT("a12050638",LEN("a12050638")-1)</f>
        <v>12050638</v>
      </c>
      <c r="C97" s="36" t="s">
        <v>110</v>
      </c>
      <c r="D97" s="35" t="str">
        <f>RIGHT("a15/09/1994",LEN("a15/09/1994")-1)</f>
        <v>15/09/1994</v>
      </c>
      <c r="E97" s="37" t="s">
        <v>107</v>
      </c>
      <c r="F97" s="37">
        <v>3.38</v>
      </c>
      <c r="G97" s="37">
        <v>79</v>
      </c>
      <c r="H97" s="37" t="s">
        <v>10</v>
      </c>
      <c r="I97" s="17">
        <v>420000</v>
      </c>
      <c r="J97" s="18">
        <f t="shared" si="1"/>
        <v>2100000</v>
      </c>
      <c r="K97" s="21"/>
    </row>
    <row r="98" spans="1:11" s="8" customFormat="1" ht="18" customHeight="1">
      <c r="A98" s="16">
        <v>92</v>
      </c>
      <c r="B98" s="35" t="str">
        <f>RIGHT("a12050653",LEN("a12050653")-1)</f>
        <v>12050653</v>
      </c>
      <c r="C98" s="36" t="s">
        <v>111</v>
      </c>
      <c r="D98" s="35" t="str">
        <f>RIGHT("a18/02/1994",LEN("a18/02/1994")-1)</f>
        <v>18/02/1994</v>
      </c>
      <c r="E98" s="37" t="s">
        <v>107</v>
      </c>
      <c r="F98" s="37">
        <v>3.33</v>
      </c>
      <c r="G98" s="37">
        <v>75</v>
      </c>
      <c r="H98" s="37" t="s">
        <v>10</v>
      </c>
      <c r="I98" s="17">
        <v>420000</v>
      </c>
      <c r="J98" s="18">
        <f t="shared" si="1"/>
        <v>2100000</v>
      </c>
      <c r="K98" s="21"/>
    </row>
    <row r="99" spans="1:11" s="8" customFormat="1" ht="18" customHeight="1">
      <c r="A99" s="16">
        <v>93</v>
      </c>
      <c r="B99" s="35" t="str">
        <f>RIGHT("a12050662",LEN("a12050662")-1)</f>
        <v>12050662</v>
      </c>
      <c r="C99" s="36" t="s">
        <v>112</v>
      </c>
      <c r="D99" s="35" t="str">
        <f>RIGHT("a28/08/1993",LEN("a28/08/1993")-1)</f>
        <v>28/08/1993</v>
      </c>
      <c r="E99" s="37" t="s">
        <v>107</v>
      </c>
      <c r="F99" s="37">
        <v>3.31</v>
      </c>
      <c r="G99" s="37">
        <v>75</v>
      </c>
      <c r="H99" s="37" t="s">
        <v>10</v>
      </c>
      <c r="I99" s="17">
        <v>420000</v>
      </c>
      <c r="J99" s="18">
        <f t="shared" si="1"/>
        <v>2100000</v>
      </c>
      <c r="K99" s="21"/>
    </row>
    <row r="100" spans="1:11" s="8" customFormat="1" ht="18" customHeight="1">
      <c r="A100" s="16">
        <v>94</v>
      </c>
      <c r="B100" s="35" t="str">
        <f>RIGHT("a12050321",LEN("a12050321")-1)</f>
        <v>12050321</v>
      </c>
      <c r="C100" s="36" t="s">
        <v>113</v>
      </c>
      <c r="D100" s="35" t="str">
        <f>RIGHT("a18/07/1994",LEN("a18/07/1994")-1)</f>
        <v>18/07/1994</v>
      </c>
      <c r="E100" s="37" t="s">
        <v>107</v>
      </c>
      <c r="F100" s="37">
        <v>3.29</v>
      </c>
      <c r="G100" s="37">
        <v>85</v>
      </c>
      <c r="H100" s="37" t="s">
        <v>11</v>
      </c>
      <c r="I100" s="17">
        <v>450000</v>
      </c>
      <c r="J100" s="18">
        <f t="shared" si="1"/>
        <v>2250000</v>
      </c>
      <c r="K100" s="21"/>
    </row>
    <row r="101" spans="1:11" s="8" customFormat="1" ht="18" customHeight="1">
      <c r="A101" s="16">
        <v>95</v>
      </c>
      <c r="B101" s="35" t="str">
        <f>RIGHT("a12050668",LEN("a12050668")-1)</f>
        <v>12050668</v>
      </c>
      <c r="C101" s="36" t="s">
        <v>114</v>
      </c>
      <c r="D101" s="35" t="str">
        <f>RIGHT("a19/05/1992",LEN("a19/05/1992")-1)</f>
        <v>19/05/1992</v>
      </c>
      <c r="E101" s="37" t="s">
        <v>107</v>
      </c>
      <c r="F101" s="37">
        <v>3.27</v>
      </c>
      <c r="G101" s="37">
        <v>77</v>
      </c>
      <c r="H101" s="37" t="s">
        <v>10</v>
      </c>
      <c r="I101" s="17">
        <v>420000</v>
      </c>
      <c r="J101" s="18">
        <f t="shared" si="1"/>
        <v>2100000</v>
      </c>
      <c r="K101" s="21"/>
    </row>
    <row r="102" spans="1:11" s="8" customFormat="1" ht="18" customHeight="1">
      <c r="A102" s="16">
        <v>96</v>
      </c>
      <c r="B102" s="35" t="str">
        <f>RIGHT("a12050178",LEN("a12050178")-1)</f>
        <v>12050178</v>
      </c>
      <c r="C102" s="36" t="s">
        <v>115</v>
      </c>
      <c r="D102" s="35" t="str">
        <f>RIGHT("a01/11/1994",LEN("a01/11/1994")-1)</f>
        <v>01/11/1994</v>
      </c>
      <c r="E102" s="37" t="s">
        <v>116</v>
      </c>
      <c r="F102" s="37">
        <v>3.69</v>
      </c>
      <c r="G102" s="37">
        <v>81</v>
      </c>
      <c r="H102" s="37" t="s">
        <v>11</v>
      </c>
      <c r="I102" s="17">
        <v>450000</v>
      </c>
      <c r="J102" s="18">
        <f t="shared" si="1"/>
        <v>2250000</v>
      </c>
      <c r="K102" s="21"/>
    </row>
    <row r="103" spans="1:11" s="8" customFormat="1" ht="18" customHeight="1">
      <c r="A103" s="16">
        <v>97</v>
      </c>
      <c r="B103" s="35" t="str">
        <f>RIGHT("a12050008",LEN("a12050008")-1)</f>
        <v>12050008</v>
      </c>
      <c r="C103" s="36" t="s">
        <v>117</v>
      </c>
      <c r="D103" s="35" t="str">
        <f>RIGHT("a12/04/1994",LEN("a12/04/1994")-1)</f>
        <v>12/04/1994</v>
      </c>
      <c r="E103" s="37" t="s">
        <v>116</v>
      </c>
      <c r="F103" s="37">
        <v>3.56</v>
      </c>
      <c r="G103" s="37">
        <v>89</v>
      </c>
      <c r="H103" s="37" t="s">
        <v>11</v>
      </c>
      <c r="I103" s="17">
        <v>450000</v>
      </c>
      <c r="J103" s="18">
        <f t="shared" si="1"/>
        <v>2250000</v>
      </c>
      <c r="K103" s="21"/>
    </row>
    <row r="104" spans="1:11" s="8" customFormat="1" ht="18" customHeight="1">
      <c r="A104" s="16">
        <v>98</v>
      </c>
      <c r="B104" s="35" t="str">
        <f>RIGHT("a12050058",LEN("a12050058")-1)</f>
        <v>12050058</v>
      </c>
      <c r="C104" s="36" t="s">
        <v>118</v>
      </c>
      <c r="D104" s="35" t="str">
        <f>RIGHT("a12/05/1994",LEN("a12/05/1994")-1)</f>
        <v>12/05/1994</v>
      </c>
      <c r="E104" s="37" t="s">
        <v>116</v>
      </c>
      <c r="F104" s="37">
        <v>3.54</v>
      </c>
      <c r="G104" s="37">
        <v>89</v>
      </c>
      <c r="H104" s="37" t="s">
        <v>11</v>
      </c>
      <c r="I104" s="17">
        <v>450000</v>
      </c>
      <c r="J104" s="18">
        <f t="shared" si="1"/>
        <v>2250000</v>
      </c>
      <c r="K104" s="21"/>
    </row>
    <row r="105" spans="1:11" s="8" customFormat="1" ht="18" customHeight="1">
      <c r="A105" s="16">
        <v>99</v>
      </c>
      <c r="B105" s="35" t="str">
        <f>RIGHT("a12050285",LEN("a12050285")-1)</f>
        <v>12050285</v>
      </c>
      <c r="C105" s="36" t="s">
        <v>119</v>
      </c>
      <c r="D105" s="35" t="str">
        <f>RIGHT("a30/10/1994",LEN("a30/10/1994")-1)</f>
        <v>30/10/1994</v>
      </c>
      <c r="E105" s="37" t="s">
        <v>116</v>
      </c>
      <c r="F105" s="37">
        <v>3.54</v>
      </c>
      <c r="G105" s="37">
        <v>79</v>
      </c>
      <c r="H105" s="37" t="s">
        <v>10</v>
      </c>
      <c r="I105" s="17">
        <v>420000</v>
      </c>
      <c r="J105" s="18">
        <f t="shared" si="1"/>
        <v>2100000</v>
      </c>
      <c r="K105" s="21"/>
    </row>
    <row r="106" spans="1:11" s="8" customFormat="1" ht="18" customHeight="1">
      <c r="A106" s="16">
        <v>100</v>
      </c>
      <c r="B106" s="35" t="str">
        <f>RIGHT("a12050162",LEN("a12050162")-1)</f>
        <v>12050162</v>
      </c>
      <c r="C106" s="36" t="s">
        <v>120</v>
      </c>
      <c r="D106" s="35" t="str">
        <f>RIGHT("a20/07/1994",LEN("a20/07/1994")-1)</f>
        <v>20/07/1994</v>
      </c>
      <c r="E106" s="37" t="s">
        <v>121</v>
      </c>
      <c r="F106" s="37">
        <v>3.77</v>
      </c>
      <c r="G106" s="37">
        <v>94</v>
      </c>
      <c r="H106" s="37" t="s">
        <v>12</v>
      </c>
      <c r="I106" s="17">
        <v>480000</v>
      </c>
      <c r="J106" s="18">
        <f t="shared" si="1"/>
        <v>2400000</v>
      </c>
      <c r="K106" s="21"/>
    </row>
    <row r="107" spans="1:11" s="8" customFormat="1" ht="18" customHeight="1">
      <c r="A107" s="16">
        <v>101</v>
      </c>
      <c r="B107" s="35" t="str">
        <f>RIGHT("a12050183",LEN("a12050183")-1)</f>
        <v>12050183</v>
      </c>
      <c r="C107" s="36" t="s">
        <v>122</v>
      </c>
      <c r="D107" s="35" t="str">
        <f>RIGHT("a09/11/1993",LEN("a09/11/1993")-1)</f>
        <v>09/11/1993</v>
      </c>
      <c r="E107" s="37" t="s">
        <v>121</v>
      </c>
      <c r="F107" s="37">
        <v>3.75</v>
      </c>
      <c r="G107" s="37">
        <v>84</v>
      </c>
      <c r="H107" s="37" t="s">
        <v>11</v>
      </c>
      <c r="I107" s="17">
        <v>450000</v>
      </c>
      <c r="J107" s="18">
        <f t="shared" si="1"/>
        <v>2250000</v>
      </c>
      <c r="K107" s="21"/>
    </row>
    <row r="108" spans="1:11" s="8" customFormat="1" ht="18" customHeight="1">
      <c r="A108" s="16">
        <v>102</v>
      </c>
      <c r="B108" s="35" t="str">
        <f>RIGHT("a12050151",LEN("a12050151")-1)</f>
        <v>12050151</v>
      </c>
      <c r="C108" s="36" t="s">
        <v>123</v>
      </c>
      <c r="D108" s="35" t="str">
        <f>RIGHT("a25/09/1994",LEN("a25/09/1994")-1)</f>
        <v>25/09/1994</v>
      </c>
      <c r="E108" s="37" t="s">
        <v>121</v>
      </c>
      <c r="F108" s="37">
        <v>3.69</v>
      </c>
      <c r="G108" s="37">
        <v>84</v>
      </c>
      <c r="H108" s="37" t="s">
        <v>11</v>
      </c>
      <c r="I108" s="17">
        <v>450000</v>
      </c>
      <c r="J108" s="18">
        <f t="shared" si="1"/>
        <v>2250000</v>
      </c>
      <c r="K108" s="21"/>
    </row>
    <row r="109" spans="1:11" s="8" customFormat="1" ht="18" customHeight="1">
      <c r="A109" s="16">
        <v>103</v>
      </c>
      <c r="B109" s="35" t="str">
        <f>RIGHT("a12050228",LEN("a12050228")-1)</f>
        <v>12050228</v>
      </c>
      <c r="C109" s="36" t="s">
        <v>124</v>
      </c>
      <c r="D109" s="35" t="str">
        <f>RIGHT("a29/10/1994",LEN("a29/10/1994")-1)</f>
        <v>29/10/1994</v>
      </c>
      <c r="E109" s="37" t="s">
        <v>121</v>
      </c>
      <c r="F109" s="37">
        <v>3.64</v>
      </c>
      <c r="G109" s="37">
        <v>84</v>
      </c>
      <c r="H109" s="37" t="s">
        <v>11</v>
      </c>
      <c r="I109" s="17">
        <v>450000</v>
      </c>
      <c r="J109" s="18">
        <f t="shared" si="1"/>
        <v>2250000</v>
      </c>
      <c r="K109" s="21"/>
    </row>
    <row r="110" spans="1:11" s="8" customFormat="1" ht="18" customHeight="1">
      <c r="A110" s="16">
        <v>104</v>
      </c>
      <c r="B110" s="35" t="str">
        <f>RIGHT("a12050559",LEN("a12050559")-1)</f>
        <v>12050559</v>
      </c>
      <c r="C110" s="36" t="s">
        <v>125</v>
      </c>
      <c r="D110" s="35" t="str">
        <f>RIGHT("a05/12/1994",LEN("a05/12/1994")-1)</f>
        <v>05/12/1994</v>
      </c>
      <c r="E110" s="37" t="s">
        <v>121</v>
      </c>
      <c r="F110" s="37">
        <v>3.64</v>
      </c>
      <c r="G110" s="37">
        <v>80</v>
      </c>
      <c r="H110" s="37" t="s">
        <v>11</v>
      </c>
      <c r="I110" s="17">
        <v>450000</v>
      </c>
      <c r="J110" s="18">
        <f t="shared" si="1"/>
        <v>2250000</v>
      </c>
      <c r="K110" s="21"/>
    </row>
    <row r="111" spans="1:11" s="8" customFormat="1" ht="18" customHeight="1">
      <c r="A111" s="16">
        <v>105</v>
      </c>
      <c r="B111" s="35">
        <v>12050092</v>
      </c>
      <c r="C111" s="36" t="s">
        <v>199</v>
      </c>
      <c r="D111" s="53">
        <v>34466</v>
      </c>
      <c r="E111" s="37" t="s">
        <v>121</v>
      </c>
      <c r="F111" s="37">
        <v>3.61</v>
      </c>
      <c r="G111" s="37">
        <v>77</v>
      </c>
      <c r="H111" s="37" t="s">
        <v>10</v>
      </c>
      <c r="I111" s="17">
        <v>420000</v>
      </c>
      <c r="J111" s="18">
        <f t="shared" si="1"/>
        <v>2100000</v>
      </c>
      <c r="K111" s="21"/>
    </row>
    <row r="112" spans="1:11" s="8" customFormat="1" ht="18" customHeight="1">
      <c r="A112" s="16">
        <v>106</v>
      </c>
      <c r="B112" s="35" t="str">
        <f>RIGHT("a12050061",LEN("a12050061")-1)</f>
        <v>12050061</v>
      </c>
      <c r="C112" s="36" t="s">
        <v>126</v>
      </c>
      <c r="D112" s="35" t="str">
        <f>RIGHT("a24/03/1994",LEN("a24/03/1994")-1)</f>
        <v>24/03/1994</v>
      </c>
      <c r="E112" s="37" t="s">
        <v>121</v>
      </c>
      <c r="F112" s="37">
        <v>3.48</v>
      </c>
      <c r="G112" s="37">
        <v>84</v>
      </c>
      <c r="H112" s="37" t="s">
        <v>11</v>
      </c>
      <c r="I112" s="17">
        <v>450000</v>
      </c>
      <c r="J112" s="18">
        <f t="shared" si="1"/>
        <v>2250000</v>
      </c>
      <c r="K112" s="21"/>
    </row>
    <row r="113" spans="1:11" s="8" customFormat="1" ht="18" customHeight="1">
      <c r="A113" s="16">
        <v>107</v>
      </c>
      <c r="B113" s="35" t="str">
        <f>RIGHT("a12050060",LEN("a12050060")-1)</f>
        <v>12050060</v>
      </c>
      <c r="C113" s="36" t="s">
        <v>127</v>
      </c>
      <c r="D113" s="35" t="str">
        <f>RIGHT("a28/06/1994",LEN("a28/06/1994")-1)</f>
        <v>28/06/1994</v>
      </c>
      <c r="E113" s="37" t="s">
        <v>121</v>
      </c>
      <c r="F113" s="37">
        <v>3.44</v>
      </c>
      <c r="G113" s="37">
        <v>84</v>
      </c>
      <c r="H113" s="37" t="s">
        <v>11</v>
      </c>
      <c r="I113" s="17">
        <v>450000</v>
      </c>
      <c r="J113" s="18">
        <f t="shared" si="1"/>
        <v>2250000</v>
      </c>
      <c r="K113" s="21"/>
    </row>
    <row r="114" spans="1:11" s="8" customFormat="1" ht="18" customHeight="1">
      <c r="A114" s="16">
        <v>108</v>
      </c>
      <c r="B114" s="35" t="str">
        <f>RIGHT("a12050231",LEN("a12050231")-1)</f>
        <v>12050231</v>
      </c>
      <c r="C114" s="36" t="s">
        <v>128</v>
      </c>
      <c r="D114" s="35" t="str">
        <f>RIGHT("a12/04/1994",LEN("a12/04/1994")-1)</f>
        <v>12/04/1994</v>
      </c>
      <c r="E114" s="37" t="s">
        <v>121</v>
      </c>
      <c r="F114" s="37">
        <v>3.44</v>
      </c>
      <c r="G114" s="37">
        <v>84</v>
      </c>
      <c r="H114" s="37" t="s">
        <v>11</v>
      </c>
      <c r="I114" s="17">
        <v>450000</v>
      </c>
      <c r="J114" s="18">
        <f t="shared" si="1"/>
        <v>2250000</v>
      </c>
      <c r="K114" s="21"/>
    </row>
    <row r="115" spans="1:11" s="8" customFormat="1" ht="21" customHeight="1">
      <c r="A115" s="15"/>
      <c r="B115" s="38" t="s">
        <v>7</v>
      </c>
      <c r="C115" s="39"/>
      <c r="D115" s="39"/>
      <c r="E115" s="40"/>
      <c r="F115" s="40"/>
      <c r="G115" s="40"/>
      <c r="H115" s="40"/>
      <c r="I115" s="41"/>
      <c r="J115" s="42">
        <f>SUM(J6:J114)</f>
        <v>243450000</v>
      </c>
      <c r="K115" s="14"/>
    </row>
    <row r="116" s="1" customFormat="1" ht="19.5" customHeight="1">
      <c r="B116" s="12" t="s">
        <v>203</v>
      </c>
    </row>
  </sheetData>
  <sheetProtection/>
  <autoFilter ref="A5:K116"/>
  <mergeCells count="11">
    <mergeCell ref="I4:I5"/>
    <mergeCell ref="K4:K5"/>
    <mergeCell ref="J4:J5"/>
    <mergeCell ref="F4:F5"/>
    <mergeCell ref="H4:H5"/>
    <mergeCell ref="C4:C5"/>
    <mergeCell ref="G4:G5"/>
    <mergeCell ref="A4:A5"/>
    <mergeCell ref="B4:B5"/>
    <mergeCell ref="E4:E5"/>
    <mergeCell ref="D4:D5"/>
  </mergeCells>
  <printOptions/>
  <pageMargins left="0.25" right="0.25" top="0.25" bottom="0" header="0.2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4">
      <selection activeCell="A3" sqref="A3:J3"/>
    </sheetView>
  </sheetViews>
  <sheetFormatPr defaultColWidth="9.140625" defaultRowHeight="12.75"/>
  <cols>
    <col min="1" max="1" width="5.421875" style="2" customWidth="1"/>
    <col min="2" max="2" width="10.140625" style="2" customWidth="1"/>
    <col min="3" max="3" width="24.00390625" style="2" customWidth="1"/>
    <col min="4" max="4" width="12.00390625" style="2" customWidth="1"/>
    <col min="5" max="5" width="24.28125" style="2" customWidth="1"/>
    <col min="6" max="6" width="14.140625" style="2" customWidth="1"/>
    <col min="7" max="7" width="12.28125" style="2" customWidth="1"/>
    <col min="8" max="8" width="8.8515625" style="2" customWidth="1"/>
    <col min="9" max="9" width="9.8515625" style="2" customWidth="1"/>
    <col min="10" max="10" width="12.8515625" style="2" customWidth="1"/>
    <col min="11" max="11" width="11.8515625" style="2" customWidth="1"/>
    <col min="12" max="16384" width="9.140625" style="2" customWidth="1"/>
  </cols>
  <sheetData>
    <row r="1" spans="1:10" ht="21.75" customHeight="1">
      <c r="A1" s="72" t="s">
        <v>204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7.25" customHeight="1">
      <c r="A2" s="72" t="s">
        <v>197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9.5" customHeight="1">
      <c r="A3" s="76" t="s">
        <v>211</v>
      </c>
      <c r="B3" s="76"/>
      <c r="C3" s="76"/>
      <c r="D3" s="76"/>
      <c r="E3" s="76"/>
      <c r="F3" s="76"/>
      <c r="G3" s="76"/>
      <c r="H3" s="76"/>
      <c r="I3" s="76"/>
      <c r="J3" s="76"/>
    </row>
    <row r="4" ht="18.75" customHeight="1">
      <c r="A4" s="9"/>
    </row>
    <row r="5" spans="1:11" s="7" customFormat="1" ht="12.75" customHeight="1">
      <c r="A5" s="77" t="s">
        <v>0</v>
      </c>
      <c r="B5" s="70" t="s">
        <v>9</v>
      </c>
      <c r="C5" s="70" t="s">
        <v>1</v>
      </c>
      <c r="D5" s="70" t="s">
        <v>2</v>
      </c>
      <c r="E5" s="70" t="s">
        <v>5</v>
      </c>
      <c r="F5" s="70" t="s">
        <v>207</v>
      </c>
      <c r="G5" s="70" t="s">
        <v>209</v>
      </c>
      <c r="H5" s="70" t="s">
        <v>3</v>
      </c>
      <c r="I5" s="70" t="s">
        <v>6</v>
      </c>
      <c r="J5" s="74" t="s">
        <v>14</v>
      </c>
      <c r="K5" s="73" t="s">
        <v>8</v>
      </c>
    </row>
    <row r="6" spans="1:11" s="7" customFormat="1" ht="41.25" customHeight="1">
      <c r="A6" s="78"/>
      <c r="B6" s="71"/>
      <c r="C6" s="71"/>
      <c r="D6" s="71"/>
      <c r="E6" s="71"/>
      <c r="F6" s="71"/>
      <c r="G6" s="71"/>
      <c r="H6" s="71"/>
      <c r="I6" s="71"/>
      <c r="J6" s="75"/>
      <c r="K6" s="73"/>
    </row>
    <row r="7" spans="1:11" s="7" customFormat="1" ht="18" customHeight="1">
      <c r="A7" s="16">
        <v>1</v>
      </c>
      <c r="B7" s="32" t="str">
        <f>RIGHT("a09050453",LEN("a09050453")-1)</f>
        <v>09050453</v>
      </c>
      <c r="C7" s="33" t="s">
        <v>142</v>
      </c>
      <c r="D7" s="32" t="str">
        <f>RIGHT("a07/11/1991",LEN("a07/11/1991")-1)</f>
        <v>07/11/1991</v>
      </c>
      <c r="E7" s="34" t="s">
        <v>143</v>
      </c>
      <c r="F7" s="34">
        <v>3.95</v>
      </c>
      <c r="G7" s="34">
        <v>87</v>
      </c>
      <c r="H7" s="34" t="s">
        <v>11</v>
      </c>
      <c r="I7" s="25">
        <v>580000</v>
      </c>
      <c r="J7" s="22">
        <f>I7*5</f>
        <v>2900000</v>
      </c>
      <c r="K7" s="20"/>
    </row>
    <row r="8" spans="1:11" s="7" customFormat="1" ht="18" customHeight="1">
      <c r="A8" s="16">
        <v>2</v>
      </c>
      <c r="B8" s="32" t="str">
        <f>RIGHT("a09050053",LEN("a09050053")-1)</f>
        <v>09050053</v>
      </c>
      <c r="C8" s="33" t="s">
        <v>144</v>
      </c>
      <c r="D8" s="32" t="str">
        <f>RIGHT("a25/03/1991",LEN("a25/03/1991")-1)</f>
        <v>25/03/1991</v>
      </c>
      <c r="E8" s="34" t="s">
        <v>143</v>
      </c>
      <c r="F8" s="34">
        <v>3.9</v>
      </c>
      <c r="G8" s="34">
        <v>97</v>
      </c>
      <c r="H8" s="34" t="s">
        <v>12</v>
      </c>
      <c r="I8" s="25">
        <v>620000</v>
      </c>
      <c r="J8" s="22">
        <f aca="true" t="shared" si="0" ref="J8:J24">I8*5</f>
        <v>3100000</v>
      </c>
      <c r="K8" s="20"/>
    </row>
    <row r="9" spans="1:11" s="7" customFormat="1" ht="18" customHeight="1">
      <c r="A9" s="16">
        <v>3</v>
      </c>
      <c r="B9" s="32" t="str">
        <f>RIGHT("a10050316",LEN("a10050316")-1)</f>
        <v>10050316</v>
      </c>
      <c r="C9" s="33" t="s">
        <v>145</v>
      </c>
      <c r="D9" s="32" t="str">
        <f>RIGHT("a22/12/1992",LEN("a22/12/1992")-1)</f>
        <v>22/12/1992</v>
      </c>
      <c r="E9" s="34" t="s">
        <v>146</v>
      </c>
      <c r="F9" s="34">
        <v>3.91</v>
      </c>
      <c r="G9" s="34">
        <v>97</v>
      </c>
      <c r="H9" s="34" t="s">
        <v>12</v>
      </c>
      <c r="I9" s="25">
        <v>620000</v>
      </c>
      <c r="J9" s="22">
        <f t="shared" si="0"/>
        <v>3100000</v>
      </c>
      <c r="K9" s="20"/>
    </row>
    <row r="10" spans="1:11" s="7" customFormat="1" ht="18" customHeight="1">
      <c r="A10" s="16">
        <v>4</v>
      </c>
      <c r="B10" s="32" t="str">
        <f>RIGHT("a10050117",LEN("a10050117")-1)</f>
        <v>10050117</v>
      </c>
      <c r="C10" s="33" t="s">
        <v>147</v>
      </c>
      <c r="D10" s="32" t="str">
        <f>RIGHT("a14/09/1992",LEN("a14/09/1992")-1)</f>
        <v>14/09/1992</v>
      </c>
      <c r="E10" s="34" t="s">
        <v>146</v>
      </c>
      <c r="F10" s="34">
        <v>3.85</v>
      </c>
      <c r="G10" s="34">
        <v>97</v>
      </c>
      <c r="H10" s="34" t="s">
        <v>12</v>
      </c>
      <c r="I10" s="25">
        <v>620000</v>
      </c>
      <c r="J10" s="22">
        <f t="shared" si="0"/>
        <v>3100000</v>
      </c>
      <c r="K10" s="20"/>
    </row>
    <row r="11" spans="1:11" s="26" customFormat="1" ht="18" customHeight="1">
      <c r="A11" s="16">
        <v>5</v>
      </c>
      <c r="B11" s="32" t="str">
        <f>RIGHT("a10050256",LEN("a10050256")-1)</f>
        <v>10050256</v>
      </c>
      <c r="C11" s="33" t="s">
        <v>148</v>
      </c>
      <c r="D11" s="32" t="str">
        <f>RIGHT("a09/12/1993",LEN("a09/12/1993")-1)</f>
        <v>09/12/1993</v>
      </c>
      <c r="E11" s="34" t="s">
        <v>146</v>
      </c>
      <c r="F11" s="34">
        <v>3.8</v>
      </c>
      <c r="G11" s="34">
        <v>79</v>
      </c>
      <c r="H11" s="34" t="s">
        <v>10</v>
      </c>
      <c r="I11" s="25">
        <v>540000</v>
      </c>
      <c r="J11" s="22">
        <f t="shared" si="0"/>
        <v>2700000</v>
      </c>
      <c r="K11" s="20"/>
    </row>
    <row r="12" spans="1:11" s="7" customFormat="1" ht="18" customHeight="1">
      <c r="A12" s="16">
        <v>6</v>
      </c>
      <c r="B12" s="32" t="str">
        <f>RIGHT("a11050308",LEN("a11050308")-1)</f>
        <v>11050308</v>
      </c>
      <c r="C12" s="33" t="s">
        <v>149</v>
      </c>
      <c r="D12" s="32" t="str">
        <f>RIGHT("a27/06/1993",LEN("a27/06/1993")-1)</f>
        <v>27/06/1993</v>
      </c>
      <c r="E12" s="34" t="s">
        <v>150</v>
      </c>
      <c r="F12" s="34">
        <v>3.7</v>
      </c>
      <c r="G12" s="34">
        <v>90</v>
      </c>
      <c r="H12" s="34" t="s">
        <v>12</v>
      </c>
      <c r="I12" s="25">
        <v>620000</v>
      </c>
      <c r="J12" s="22">
        <f t="shared" si="0"/>
        <v>3100000</v>
      </c>
      <c r="K12" s="20"/>
    </row>
    <row r="13" spans="1:11" s="7" customFormat="1" ht="18" customHeight="1">
      <c r="A13" s="16">
        <v>7</v>
      </c>
      <c r="B13" s="32" t="str">
        <f>RIGHT("a11050019",LEN("a11050019")-1)</f>
        <v>11050019</v>
      </c>
      <c r="C13" s="33" t="s">
        <v>151</v>
      </c>
      <c r="D13" s="32" t="str">
        <f>RIGHT("a01/08/1993",LEN("a01/08/1993")-1)</f>
        <v>01/08/1993</v>
      </c>
      <c r="E13" s="34" t="s">
        <v>150</v>
      </c>
      <c r="F13" s="34">
        <v>3.45</v>
      </c>
      <c r="G13" s="34">
        <v>95</v>
      </c>
      <c r="H13" s="34" t="s">
        <v>11</v>
      </c>
      <c r="I13" s="25">
        <v>580000</v>
      </c>
      <c r="J13" s="22">
        <f t="shared" si="0"/>
        <v>2900000</v>
      </c>
      <c r="K13" s="20"/>
    </row>
    <row r="14" spans="1:11" s="7" customFormat="1" ht="18" customHeight="1">
      <c r="A14" s="16">
        <v>8</v>
      </c>
      <c r="B14" s="32" t="str">
        <f>RIGHT("a11050344",LEN("a11050344")-1)</f>
        <v>11050344</v>
      </c>
      <c r="C14" s="33" t="s">
        <v>152</v>
      </c>
      <c r="D14" s="32" t="str">
        <f>RIGHT("a22/04/1993",LEN("a22/04/1993")-1)</f>
        <v>22/04/1993</v>
      </c>
      <c r="E14" s="34" t="s">
        <v>150</v>
      </c>
      <c r="F14" s="34">
        <v>3.44</v>
      </c>
      <c r="G14" s="34">
        <v>95</v>
      </c>
      <c r="H14" s="34" t="s">
        <v>11</v>
      </c>
      <c r="I14" s="25">
        <v>580000</v>
      </c>
      <c r="J14" s="22">
        <f t="shared" si="0"/>
        <v>2900000</v>
      </c>
      <c r="K14" s="20"/>
    </row>
    <row r="15" spans="1:11" s="7" customFormat="1" ht="18" customHeight="1">
      <c r="A15" s="16">
        <v>9</v>
      </c>
      <c r="B15" s="32" t="str">
        <f>RIGHT("a11050317",LEN("a11050317")-1)</f>
        <v>11050317</v>
      </c>
      <c r="C15" s="33" t="s">
        <v>153</v>
      </c>
      <c r="D15" s="32" t="str">
        <f>RIGHT("a01/03/1993",LEN("a01/03/1993")-1)</f>
        <v>01/03/1993</v>
      </c>
      <c r="E15" s="34" t="s">
        <v>154</v>
      </c>
      <c r="F15" s="34">
        <v>3.88</v>
      </c>
      <c r="G15" s="34">
        <v>91</v>
      </c>
      <c r="H15" s="34" t="s">
        <v>12</v>
      </c>
      <c r="I15" s="25">
        <v>620000</v>
      </c>
      <c r="J15" s="22">
        <f t="shared" si="0"/>
        <v>3100000</v>
      </c>
      <c r="K15" s="20"/>
    </row>
    <row r="16" spans="1:11" s="7" customFormat="1" ht="18" customHeight="1">
      <c r="A16" s="16">
        <v>10</v>
      </c>
      <c r="B16" s="32" t="str">
        <f>RIGHT("a11050346",LEN("a11050346")-1)</f>
        <v>11050346</v>
      </c>
      <c r="C16" s="33" t="s">
        <v>155</v>
      </c>
      <c r="D16" s="32" t="str">
        <f>RIGHT("a04/09/1993",LEN("a04/09/1993")-1)</f>
        <v>04/09/1993</v>
      </c>
      <c r="E16" s="34" t="s">
        <v>154</v>
      </c>
      <c r="F16" s="34">
        <v>3.79</v>
      </c>
      <c r="G16" s="34">
        <v>97</v>
      </c>
      <c r="H16" s="34" t="s">
        <v>12</v>
      </c>
      <c r="I16" s="25">
        <v>620000</v>
      </c>
      <c r="J16" s="22">
        <f t="shared" si="0"/>
        <v>3100000</v>
      </c>
      <c r="K16" s="20"/>
    </row>
    <row r="17" spans="1:11" s="7" customFormat="1" ht="18" customHeight="1">
      <c r="A17" s="16">
        <v>11</v>
      </c>
      <c r="B17" s="32" t="str">
        <f>RIGHT("a11050124",LEN("a11050124")-1)</f>
        <v>11050124</v>
      </c>
      <c r="C17" s="33" t="s">
        <v>156</v>
      </c>
      <c r="D17" s="32" t="str">
        <f>RIGHT("a04/08/1993",LEN("a04/08/1993")-1)</f>
        <v>04/08/1993</v>
      </c>
      <c r="E17" s="34" t="s">
        <v>154</v>
      </c>
      <c r="F17" s="34">
        <v>3.71</v>
      </c>
      <c r="G17" s="34">
        <v>81</v>
      </c>
      <c r="H17" s="34" t="s">
        <v>11</v>
      </c>
      <c r="I17" s="25">
        <v>580000</v>
      </c>
      <c r="J17" s="22">
        <f t="shared" si="0"/>
        <v>2900000</v>
      </c>
      <c r="K17" s="20"/>
    </row>
    <row r="18" spans="1:11" s="7" customFormat="1" ht="18" customHeight="1">
      <c r="A18" s="16">
        <v>12</v>
      </c>
      <c r="B18" s="44" t="str">
        <f>RIGHT("a11050337",LEN("a11050337")-1)</f>
        <v>11050337</v>
      </c>
      <c r="C18" s="43" t="s">
        <v>157</v>
      </c>
      <c r="D18" s="44" t="str">
        <f>RIGHT("a12/09/1993",LEN("a12/09/1993")-1)</f>
        <v>12/09/1993</v>
      </c>
      <c r="E18" s="45" t="s">
        <v>154</v>
      </c>
      <c r="F18" s="45">
        <v>3.7</v>
      </c>
      <c r="G18" s="45">
        <v>81</v>
      </c>
      <c r="H18" s="45" t="s">
        <v>11</v>
      </c>
      <c r="I18" s="25">
        <v>580000</v>
      </c>
      <c r="J18" s="22">
        <f t="shared" si="0"/>
        <v>2900000</v>
      </c>
      <c r="K18" s="20"/>
    </row>
    <row r="19" spans="1:11" s="7" customFormat="1" ht="18" customHeight="1">
      <c r="A19" s="16">
        <v>13</v>
      </c>
      <c r="B19" s="32" t="str">
        <f>RIGHT("a12050016",LEN("a12050016")-1)</f>
        <v>12050016</v>
      </c>
      <c r="C19" s="33" t="s">
        <v>158</v>
      </c>
      <c r="D19" s="32" t="str">
        <f>RIGHT("a16/01/1993",LEN("a16/01/1993")-1)</f>
        <v>16/01/1993</v>
      </c>
      <c r="E19" s="34" t="s">
        <v>159</v>
      </c>
      <c r="F19" s="34">
        <v>3.78</v>
      </c>
      <c r="G19" s="34">
        <v>91</v>
      </c>
      <c r="H19" s="34" t="s">
        <v>12</v>
      </c>
      <c r="I19" s="25">
        <v>620000</v>
      </c>
      <c r="J19" s="22">
        <f t="shared" si="0"/>
        <v>3100000</v>
      </c>
      <c r="K19" s="20"/>
    </row>
    <row r="20" spans="1:11" s="7" customFormat="1" ht="18" customHeight="1">
      <c r="A20" s="16">
        <v>14</v>
      </c>
      <c r="B20" s="32" t="str">
        <f>RIGHT("a12050274",LEN("a12050274")-1)</f>
        <v>12050274</v>
      </c>
      <c r="C20" s="33" t="s">
        <v>160</v>
      </c>
      <c r="D20" s="32" t="str">
        <f>RIGHT("a29/03/1994",LEN("a29/03/1994")-1)</f>
        <v>29/03/1994</v>
      </c>
      <c r="E20" s="34" t="s">
        <v>159</v>
      </c>
      <c r="F20" s="34">
        <v>3.75</v>
      </c>
      <c r="G20" s="34">
        <v>81</v>
      </c>
      <c r="H20" s="34" t="s">
        <v>11</v>
      </c>
      <c r="I20" s="25">
        <v>580000</v>
      </c>
      <c r="J20" s="22">
        <f>I20*5</f>
        <v>2900000</v>
      </c>
      <c r="K20" s="20"/>
    </row>
    <row r="21" spans="1:11" s="7" customFormat="1" ht="18" customHeight="1">
      <c r="A21" s="16">
        <v>15</v>
      </c>
      <c r="B21" s="32" t="str">
        <f>RIGHT("a12050132",LEN("a12050132")-1)</f>
        <v>12050132</v>
      </c>
      <c r="C21" s="33" t="s">
        <v>161</v>
      </c>
      <c r="D21" s="32" t="str">
        <f>RIGHT("a02/10/1994",LEN("a02/10/1994")-1)</f>
        <v>02/10/1994</v>
      </c>
      <c r="E21" s="34" t="s">
        <v>159</v>
      </c>
      <c r="F21" s="34">
        <v>3.7</v>
      </c>
      <c r="G21" s="34">
        <v>91</v>
      </c>
      <c r="H21" s="34" t="s">
        <v>12</v>
      </c>
      <c r="I21" s="25">
        <v>620000</v>
      </c>
      <c r="J21" s="22">
        <f t="shared" si="0"/>
        <v>3100000</v>
      </c>
      <c r="K21" s="20"/>
    </row>
    <row r="22" spans="1:11" s="7" customFormat="1" ht="18" customHeight="1">
      <c r="A22" s="16">
        <v>16</v>
      </c>
      <c r="B22" s="32" t="str">
        <f>RIGHT("a12050283",LEN("a12050283")-1)</f>
        <v>12050283</v>
      </c>
      <c r="C22" s="33" t="s">
        <v>162</v>
      </c>
      <c r="D22" s="32" t="str">
        <f>RIGHT("a27/06/1994",LEN("a27/06/1994")-1)</f>
        <v>27/06/1994</v>
      </c>
      <c r="E22" s="34" t="s">
        <v>159</v>
      </c>
      <c r="F22" s="34">
        <v>3.7</v>
      </c>
      <c r="G22" s="34">
        <v>91</v>
      </c>
      <c r="H22" s="34" t="s">
        <v>12</v>
      </c>
      <c r="I22" s="25">
        <v>620000</v>
      </c>
      <c r="J22" s="22">
        <f t="shared" si="0"/>
        <v>3100000</v>
      </c>
      <c r="K22" s="20"/>
    </row>
    <row r="23" spans="1:11" s="7" customFormat="1" ht="18" customHeight="1">
      <c r="A23" s="16">
        <v>17</v>
      </c>
      <c r="B23" s="32" t="str">
        <f>RIGHT("a12050326",LEN("a12050326")-1)</f>
        <v>12050326</v>
      </c>
      <c r="C23" s="33" t="s">
        <v>166</v>
      </c>
      <c r="D23" s="32" t="str">
        <f>RIGHT("a19/12/1993",LEN("a19/12/1993")-1)</f>
        <v>19/12/1993</v>
      </c>
      <c r="E23" s="34" t="s">
        <v>159</v>
      </c>
      <c r="F23" s="34">
        <v>3.7</v>
      </c>
      <c r="G23" s="34">
        <v>91</v>
      </c>
      <c r="H23" s="34" t="s">
        <v>12</v>
      </c>
      <c r="I23" s="25">
        <v>620000</v>
      </c>
      <c r="J23" s="22">
        <f t="shared" si="0"/>
        <v>3100000</v>
      </c>
      <c r="K23" s="20"/>
    </row>
    <row r="24" spans="1:11" s="7" customFormat="1" ht="18" customHeight="1">
      <c r="A24" s="16">
        <v>18</v>
      </c>
      <c r="B24" s="32" t="str">
        <f>RIGHT("a12050217",LEN("a12050217")-1)</f>
        <v>12050217</v>
      </c>
      <c r="C24" s="33" t="s">
        <v>163</v>
      </c>
      <c r="D24" s="32" t="str">
        <f>RIGHT("a06/11/1994",LEN("a06/11/1994")-1)</f>
        <v>06/11/1994</v>
      </c>
      <c r="E24" s="34" t="s">
        <v>164</v>
      </c>
      <c r="F24" s="34">
        <v>3.89</v>
      </c>
      <c r="G24" s="34">
        <v>91</v>
      </c>
      <c r="H24" s="34" t="s">
        <v>12</v>
      </c>
      <c r="I24" s="25">
        <v>620000</v>
      </c>
      <c r="J24" s="22">
        <f t="shared" si="0"/>
        <v>3100000</v>
      </c>
      <c r="K24" s="20"/>
    </row>
    <row r="25" spans="1:11" s="7" customFormat="1" ht="18" customHeight="1">
      <c r="A25" s="16">
        <v>19</v>
      </c>
      <c r="B25" s="32" t="str">
        <f>RIGHT("a12050223",LEN("a12050223")-1)</f>
        <v>12050223</v>
      </c>
      <c r="C25" s="33" t="s">
        <v>165</v>
      </c>
      <c r="D25" s="32" t="str">
        <f>RIGHT("a16/07/1994",LEN("a16/07/1994")-1)</f>
        <v>16/07/1994</v>
      </c>
      <c r="E25" s="34" t="s">
        <v>164</v>
      </c>
      <c r="F25" s="34">
        <v>3.78</v>
      </c>
      <c r="G25" s="34">
        <v>81</v>
      </c>
      <c r="H25" s="34" t="s">
        <v>11</v>
      </c>
      <c r="I25" s="25">
        <v>580000</v>
      </c>
      <c r="J25" s="22">
        <f>I25*5</f>
        <v>2900000</v>
      </c>
      <c r="K25" s="20"/>
    </row>
    <row r="26" spans="1:11" ht="15">
      <c r="A26" s="28"/>
      <c r="B26" s="29" t="s">
        <v>7</v>
      </c>
      <c r="C26" s="28"/>
      <c r="D26" s="28"/>
      <c r="E26" s="28"/>
      <c r="F26" s="28"/>
      <c r="G26" s="28"/>
      <c r="H26" s="30"/>
      <c r="I26" s="31"/>
      <c r="J26" s="24">
        <f>SUM(J7:J25)</f>
        <v>57100000</v>
      </c>
      <c r="K26" s="21"/>
    </row>
    <row r="27" spans="2:4" ht="15.75">
      <c r="B27" s="11" t="s">
        <v>198</v>
      </c>
      <c r="C27" s="1"/>
      <c r="D27" s="1"/>
    </row>
    <row r="28" ht="15.75">
      <c r="B28" s="1"/>
    </row>
  </sheetData>
  <sheetProtection/>
  <autoFilter ref="A6:J27"/>
  <mergeCells count="14">
    <mergeCell ref="A1:J1"/>
    <mergeCell ref="A3:J3"/>
    <mergeCell ref="A5:A6"/>
    <mergeCell ref="B5:B6"/>
    <mergeCell ref="C5:C6"/>
    <mergeCell ref="D5:D6"/>
    <mergeCell ref="I5:I6"/>
    <mergeCell ref="E5:E6"/>
    <mergeCell ref="F5:F6"/>
    <mergeCell ref="G5:G6"/>
    <mergeCell ref="H5:H6"/>
    <mergeCell ref="A2:J2"/>
    <mergeCell ref="K5:K6"/>
    <mergeCell ref="J5:J6"/>
  </mergeCells>
  <printOptions/>
  <pageMargins left="0.25" right="0.25" top="0.25" bottom="0.2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66"/>
  <sheetViews>
    <sheetView zoomScalePageLayoutView="0" workbookViewId="0" topLeftCell="E1">
      <selection activeCell="L1" sqref="L1:AO16384"/>
    </sheetView>
  </sheetViews>
  <sheetFormatPr defaultColWidth="9.140625" defaultRowHeight="12.75"/>
  <cols>
    <col min="1" max="1" width="5.28125" style="0" customWidth="1"/>
    <col min="2" max="2" width="11.421875" style="0" customWidth="1"/>
    <col min="3" max="3" width="23.140625" style="0" customWidth="1"/>
    <col min="4" max="4" width="12.7109375" style="0" customWidth="1"/>
    <col min="5" max="5" width="20.28125" style="0" customWidth="1"/>
    <col min="6" max="6" width="14.00390625" style="0" customWidth="1"/>
    <col min="7" max="7" width="13.00390625" style="0" customWidth="1"/>
    <col min="8" max="8" width="8.421875" style="0" customWidth="1"/>
    <col min="9" max="9" width="11.7109375" style="0" customWidth="1"/>
    <col min="10" max="10" width="13.57421875" style="0" customWidth="1"/>
    <col min="11" max="11" width="12.140625" style="0" customWidth="1"/>
  </cols>
  <sheetData>
    <row r="1" spans="1:10" s="2" customFormat="1" ht="20.25" customHeight="1">
      <c r="A1" s="72" t="s">
        <v>204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2" customFormat="1" ht="15" customHeight="1">
      <c r="A2" s="72" t="s">
        <v>196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2" customFormat="1" ht="17.25" customHeight="1">
      <c r="A3" s="76" t="s">
        <v>210</v>
      </c>
      <c r="B3" s="76"/>
      <c r="C3" s="76"/>
      <c r="D3" s="76"/>
      <c r="E3" s="76"/>
      <c r="F3" s="76"/>
      <c r="G3" s="76"/>
      <c r="H3" s="76"/>
      <c r="I3" s="76"/>
      <c r="J3" s="76"/>
    </row>
    <row r="5" spans="1:11" s="7" customFormat="1" ht="12.75" customHeight="1">
      <c r="A5" s="77" t="s">
        <v>0</v>
      </c>
      <c r="B5" s="70" t="s">
        <v>9</v>
      </c>
      <c r="C5" s="70" t="s">
        <v>1</v>
      </c>
      <c r="D5" s="70" t="s">
        <v>2</v>
      </c>
      <c r="E5" s="70" t="s">
        <v>5</v>
      </c>
      <c r="F5" s="70" t="s">
        <v>207</v>
      </c>
      <c r="G5" s="70" t="s">
        <v>208</v>
      </c>
      <c r="H5" s="70" t="s">
        <v>3</v>
      </c>
      <c r="I5" s="70" t="s">
        <v>6</v>
      </c>
      <c r="J5" s="74" t="s">
        <v>4</v>
      </c>
      <c r="K5" s="73" t="s">
        <v>8</v>
      </c>
    </row>
    <row r="6" spans="1:11" s="7" customFormat="1" ht="33.75" customHeight="1">
      <c r="A6" s="78"/>
      <c r="B6" s="71"/>
      <c r="C6" s="71"/>
      <c r="D6" s="71"/>
      <c r="E6" s="71"/>
      <c r="F6" s="71"/>
      <c r="G6" s="71"/>
      <c r="H6" s="71"/>
      <c r="I6" s="71"/>
      <c r="J6" s="75"/>
      <c r="K6" s="73"/>
    </row>
    <row r="7" spans="1:11" s="7" customFormat="1" ht="18" customHeight="1">
      <c r="A7" s="16">
        <v>1</v>
      </c>
      <c r="B7" s="32" t="str">
        <f>RIGHT("a09050265",LEN("a09050265")-1)</f>
        <v>09050265</v>
      </c>
      <c r="C7" s="33" t="s">
        <v>167</v>
      </c>
      <c r="D7" s="32" t="str">
        <f>RIGHT("a11/01/1991",LEN("a11/01/1991")-1)</f>
        <v>11/01/1991</v>
      </c>
      <c r="E7" s="34" t="s">
        <v>168</v>
      </c>
      <c r="F7" s="34">
        <v>3.79</v>
      </c>
      <c r="G7" s="34">
        <v>87</v>
      </c>
      <c r="H7" s="34" t="s">
        <v>11</v>
      </c>
      <c r="I7" s="25">
        <v>770000</v>
      </c>
      <c r="J7" s="23">
        <f>I7*5</f>
        <v>3850000</v>
      </c>
      <c r="K7" s="13"/>
    </row>
    <row r="8" spans="1:11" s="7" customFormat="1" ht="18" customHeight="1">
      <c r="A8" s="16">
        <v>2</v>
      </c>
      <c r="B8" s="32" t="str">
        <f>RIGHT("a09050285",LEN("a09050285")-1)</f>
        <v>09050285</v>
      </c>
      <c r="C8" s="33" t="s">
        <v>169</v>
      </c>
      <c r="D8" s="32" t="str">
        <f>RIGHT("a22/06/1991",LEN("a22/06/1991")-1)</f>
        <v>22/06/1991</v>
      </c>
      <c r="E8" s="34" t="s">
        <v>168</v>
      </c>
      <c r="F8" s="34">
        <v>3.7</v>
      </c>
      <c r="G8" s="34">
        <v>85</v>
      </c>
      <c r="H8" s="34" t="s">
        <v>11</v>
      </c>
      <c r="I8" s="25">
        <v>770000</v>
      </c>
      <c r="J8" s="23">
        <f aca="true" t="shared" si="0" ref="J8:J31">I8*5</f>
        <v>3850000</v>
      </c>
      <c r="K8" s="13"/>
    </row>
    <row r="9" spans="1:11" s="7" customFormat="1" ht="18" customHeight="1">
      <c r="A9" s="16">
        <v>3</v>
      </c>
      <c r="B9" s="32" t="str">
        <f>RIGHT("a09050313",LEN("a09050313")-1)</f>
        <v>09050313</v>
      </c>
      <c r="C9" s="33" t="s">
        <v>170</v>
      </c>
      <c r="D9" s="32" t="str">
        <f>RIGHT("a30/12/1991",LEN("a30/12/1991")-1)</f>
        <v>30/12/1991</v>
      </c>
      <c r="E9" s="34" t="s">
        <v>168</v>
      </c>
      <c r="F9" s="34">
        <v>3.59</v>
      </c>
      <c r="G9" s="34">
        <v>83</v>
      </c>
      <c r="H9" s="34" t="s">
        <v>11</v>
      </c>
      <c r="I9" s="25">
        <v>770000</v>
      </c>
      <c r="J9" s="23">
        <f t="shared" si="0"/>
        <v>3850000</v>
      </c>
      <c r="K9" s="13"/>
    </row>
    <row r="10" spans="1:11" s="7" customFormat="1" ht="18" customHeight="1">
      <c r="A10" s="16">
        <v>4</v>
      </c>
      <c r="B10" s="32" t="str">
        <f>RIGHT("a09050320",LEN("a09050320")-1)</f>
        <v>09050320</v>
      </c>
      <c r="C10" s="33" t="s">
        <v>171</v>
      </c>
      <c r="D10" s="32" t="str">
        <f>RIGHT("a16/04/1991",LEN("a16/04/1991")-1)</f>
        <v>16/04/1991</v>
      </c>
      <c r="E10" s="34" t="s">
        <v>168</v>
      </c>
      <c r="F10" s="34">
        <v>3.59</v>
      </c>
      <c r="G10" s="34">
        <v>83</v>
      </c>
      <c r="H10" s="34" t="s">
        <v>11</v>
      </c>
      <c r="I10" s="25">
        <v>770000</v>
      </c>
      <c r="J10" s="23">
        <f t="shared" si="0"/>
        <v>3850000</v>
      </c>
      <c r="K10" s="13"/>
    </row>
    <row r="11" spans="1:11" s="7" customFormat="1" ht="18" customHeight="1">
      <c r="A11" s="16">
        <v>5</v>
      </c>
      <c r="B11" s="32" t="str">
        <f>RIGHT("a09050272",LEN("a09050272")-1)</f>
        <v>09050272</v>
      </c>
      <c r="C11" s="33" t="s">
        <v>172</v>
      </c>
      <c r="D11" s="32" t="str">
        <f>RIGHT("a01/12/1991",LEN("a01/12/1991")-1)</f>
        <v>01/12/1991</v>
      </c>
      <c r="E11" s="34" t="s">
        <v>168</v>
      </c>
      <c r="F11" s="34">
        <v>3.57</v>
      </c>
      <c r="G11" s="34">
        <v>83</v>
      </c>
      <c r="H11" s="34" t="s">
        <v>11</v>
      </c>
      <c r="I11" s="25">
        <v>770000</v>
      </c>
      <c r="J11" s="23">
        <f t="shared" si="0"/>
        <v>3850000</v>
      </c>
      <c r="K11" s="13"/>
    </row>
    <row r="12" spans="1:11" s="7" customFormat="1" ht="18" customHeight="1">
      <c r="A12" s="16">
        <v>6</v>
      </c>
      <c r="B12" s="32" t="str">
        <f>RIGHT("a09050314",LEN("a09050314")-1)</f>
        <v>09050314</v>
      </c>
      <c r="C12" s="33" t="s">
        <v>173</v>
      </c>
      <c r="D12" s="32" t="str">
        <f>RIGHT("a05/09/1991",LEN("a05/09/1991")-1)</f>
        <v>05/09/1991</v>
      </c>
      <c r="E12" s="34" t="s">
        <v>168</v>
      </c>
      <c r="F12" s="34">
        <v>3.46</v>
      </c>
      <c r="G12" s="34">
        <v>81</v>
      </c>
      <c r="H12" s="34" t="s">
        <v>11</v>
      </c>
      <c r="I12" s="25">
        <v>770000</v>
      </c>
      <c r="J12" s="23">
        <f t="shared" si="0"/>
        <v>3850000</v>
      </c>
      <c r="K12" s="13"/>
    </row>
    <row r="13" spans="1:11" s="26" customFormat="1" ht="18" customHeight="1">
      <c r="A13" s="16">
        <v>7</v>
      </c>
      <c r="B13" s="32" t="str">
        <f>RIGHT("a09050287",LEN("a09050287")-1)</f>
        <v>09050287</v>
      </c>
      <c r="C13" s="33" t="s">
        <v>174</v>
      </c>
      <c r="D13" s="32" t="str">
        <f>RIGHT("a01/04/1991",LEN("a01/04/1991")-1)</f>
        <v>01/04/1991</v>
      </c>
      <c r="E13" s="34" t="s">
        <v>168</v>
      </c>
      <c r="F13" s="34">
        <v>3.41</v>
      </c>
      <c r="G13" s="34">
        <v>95</v>
      </c>
      <c r="H13" s="34" t="s">
        <v>11</v>
      </c>
      <c r="I13" s="25">
        <v>770000</v>
      </c>
      <c r="J13" s="23">
        <f t="shared" si="0"/>
        <v>3850000</v>
      </c>
      <c r="K13" s="20"/>
    </row>
    <row r="14" spans="1:11" s="26" customFormat="1" ht="18" customHeight="1">
      <c r="A14" s="16">
        <v>8</v>
      </c>
      <c r="B14" s="32" t="str">
        <f>RIGHT("a10050140",LEN("a10050140")-1)</f>
        <v>10050140</v>
      </c>
      <c r="C14" s="33" t="s">
        <v>175</v>
      </c>
      <c r="D14" s="32" t="str">
        <f>RIGHT("a24/12/1991",LEN("a24/12/1991")-1)</f>
        <v>24/12/1991</v>
      </c>
      <c r="E14" s="34" t="s">
        <v>176</v>
      </c>
      <c r="F14" s="34">
        <v>3.89</v>
      </c>
      <c r="G14" s="34">
        <v>81</v>
      </c>
      <c r="H14" s="34" t="s">
        <v>11</v>
      </c>
      <c r="I14" s="25">
        <v>770000</v>
      </c>
      <c r="J14" s="23">
        <f t="shared" si="0"/>
        <v>3850000</v>
      </c>
      <c r="K14" s="20"/>
    </row>
    <row r="15" spans="1:11" s="7" customFormat="1" ht="18" customHeight="1">
      <c r="A15" s="16">
        <v>9</v>
      </c>
      <c r="B15" s="32" t="str">
        <f>RIGHT("a10050263",LEN("a10050263")-1)</f>
        <v>10050263</v>
      </c>
      <c r="C15" s="33" t="s">
        <v>177</v>
      </c>
      <c r="D15" s="32" t="str">
        <f>RIGHT("a24/10/1992",LEN("a24/10/1992")-1)</f>
        <v>24/10/1992</v>
      </c>
      <c r="E15" s="34" t="s">
        <v>176</v>
      </c>
      <c r="F15" s="34">
        <v>3.85</v>
      </c>
      <c r="G15" s="34">
        <v>91</v>
      </c>
      <c r="H15" s="34" t="s">
        <v>12</v>
      </c>
      <c r="I15" s="25">
        <v>970000</v>
      </c>
      <c r="J15" s="23">
        <f t="shared" si="0"/>
        <v>4850000</v>
      </c>
      <c r="K15" s="13"/>
    </row>
    <row r="16" spans="1:11" s="7" customFormat="1" ht="18" customHeight="1">
      <c r="A16" s="16">
        <v>10</v>
      </c>
      <c r="B16" s="32" t="str">
        <f>RIGHT("a10050051",LEN("a10050051")-1)</f>
        <v>10050051</v>
      </c>
      <c r="C16" s="33" t="s">
        <v>178</v>
      </c>
      <c r="D16" s="32" t="str">
        <f>RIGHT("a30/07/1992",LEN("a30/07/1992")-1)</f>
        <v>30/07/1992</v>
      </c>
      <c r="E16" s="34" t="s">
        <v>176</v>
      </c>
      <c r="F16" s="34">
        <v>3.78</v>
      </c>
      <c r="G16" s="34">
        <v>91</v>
      </c>
      <c r="H16" s="34" t="s">
        <v>12</v>
      </c>
      <c r="I16" s="25">
        <v>970000</v>
      </c>
      <c r="J16" s="23">
        <f t="shared" si="0"/>
        <v>4850000</v>
      </c>
      <c r="K16" s="13"/>
    </row>
    <row r="17" spans="1:11" s="7" customFormat="1" ht="18" customHeight="1">
      <c r="A17" s="16">
        <v>11</v>
      </c>
      <c r="B17" s="32" t="str">
        <f>RIGHT("a10050298",LEN("a10050298")-1)</f>
        <v>10050298</v>
      </c>
      <c r="C17" s="33" t="s">
        <v>78</v>
      </c>
      <c r="D17" s="32" t="str">
        <f>RIGHT("a03/06/1992",LEN("a03/06/1992")-1)</f>
        <v>03/06/1992</v>
      </c>
      <c r="E17" s="34" t="s">
        <v>176</v>
      </c>
      <c r="F17" s="34">
        <v>3.73</v>
      </c>
      <c r="G17" s="34">
        <v>91</v>
      </c>
      <c r="H17" s="34" t="s">
        <v>12</v>
      </c>
      <c r="I17" s="25">
        <v>970000</v>
      </c>
      <c r="J17" s="23">
        <f t="shared" si="0"/>
        <v>4850000</v>
      </c>
      <c r="K17" s="13"/>
    </row>
    <row r="18" spans="1:11" s="7" customFormat="1" ht="18" customHeight="1">
      <c r="A18" s="16">
        <v>12</v>
      </c>
      <c r="B18" s="32" t="str">
        <f>RIGHT("a10050255",LEN("a10050255")-1)</f>
        <v>10050255</v>
      </c>
      <c r="C18" s="33" t="s">
        <v>179</v>
      </c>
      <c r="D18" s="32" t="str">
        <f>RIGHT("a15/07/1992",LEN("a15/07/1992")-1)</f>
        <v>15/07/1992</v>
      </c>
      <c r="E18" s="34" t="s">
        <v>176</v>
      </c>
      <c r="F18" s="34">
        <v>3.7</v>
      </c>
      <c r="G18" s="34">
        <v>91</v>
      </c>
      <c r="H18" s="34" t="s">
        <v>12</v>
      </c>
      <c r="I18" s="25">
        <v>970000</v>
      </c>
      <c r="J18" s="23">
        <f t="shared" si="0"/>
        <v>4850000</v>
      </c>
      <c r="K18" s="13"/>
    </row>
    <row r="19" spans="1:11" s="7" customFormat="1" ht="18" customHeight="1">
      <c r="A19" s="16">
        <v>13</v>
      </c>
      <c r="B19" s="32" t="str">
        <f>RIGHT("a11050002",LEN("a11050002")-1)</f>
        <v>11050002</v>
      </c>
      <c r="C19" s="33" t="s">
        <v>188</v>
      </c>
      <c r="D19" s="32" t="str">
        <f>RIGHT("a28/08/1993",LEN("a28/08/1993")-1)</f>
        <v>28/08/1993</v>
      </c>
      <c r="E19" s="34" t="s">
        <v>189</v>
      </c>
      <c r="F19" s="34">
        <v>3.86</v>
      </c>
      <c r="G19" s="34">
        <v>97</v>
      </c>
      <c r="H19" s="34" t="s">
        <v>12</v>
      </c>
      <c r="I19" s="25">
        <v>970000</v>
      </c>
      <c r="J19" s="23">
        <f t="shared" si="0"/>
        <v>4850000</v>
      </c>
      <c r="K19" s="13"/>
    </row>
    <row r="20" spans="1:11" s="7" customFormat="1" ht="18" customHeight="1">
      <c r="A20" s="16">
        <v>14</v>
      </c>
      <c r="B20" s="32" t="str">
        <f>RIGHT("a11050018",LEN("a11050018")-1)</f>
        <v>11050018</v>
      </c>
      <c r="C20" s="33" t="s">
        <v>190</v>
      </c>
      <c r="D20" s="32" t="str">
        <f>RIGHT("a10/11/1993",LEN("a10/11/1993")-1)</f>
        <v>10/11/1993</v>
      </c>
      <c r="E20" s="34" t="s">
        <v>189</v>
      </c>
      <c r="F20" s="34">
        <v>3.78</v>
      </c>
      <c r="G20" s="34">
        <v>87</v>
      </c>
      <c r="H20" s="34" t="s">
        <v>11</v>
      </c>
      <c r="I20" s="25">
        <v>770000</v>
      </c>
      <c r="J20" s="23">
        <f t="shared" si="0"/>
        <v>3850000</v>
      </c>
      <c r="K20" s="13"/>
    </row>
    <row r="21" spans="1:11" s="7" customFormat="1" ht="18" customHeight="1">
      <c r="A21" s="16">
        <v>15</v>
      </c>
      <c r="B21" s="32" t="str">
        <f>RIGHT("a11050013",LEN("a11050013")-1)</f>
        <v>11050013</v>
      </c>
      <c r="C21" s="33" t="s">
        <v>191</v>
      </c>
      <c r="D21" s="32" t="str">
        <f>RIGHT("a13/09/1993",LEN("a13/09/1993")-1)</f>
        <v>13/09/1993</v>
      </c>
      <c r="E21" s="34" t="s">
        <v>189</v>
      </c>
      <c r="F21" s="34">
        <v>3.73</v>
      </c>
      <c r="G21" s="34">
        <v>92</v>
      </c>
      <c r="H21" s="34" t="s">
        <v>12</v>
      </c>
      <c r="I21" s="25">
        <v>970000</v>
      </c>
      <c r="J21" s="23">
        <f t="shared" si="0"/>
        <v>4850000</v>
      </c>
      <c r="K21" s="13"/>
    </row>
    <row r="22" spans="1:11" s="7" customFormat="1" ht="18" customHeight="1">
      <c r="A22" s="16">
        <v>16</v>
      </c>
      <c r="B22" s="32" t="str">
        <f>RIGHT("a11050222",LEN("a11050222")-1)</f>
        <v>11050222</v>
      </c>
      <c r="C22" s="33" t="s">
        <v>192</v>
      </c>
      <c r="D22" s="32" t="str">
        <f>RIGHT("a28/04/1993",LEN("a28/04/1993")-1)</f>
        <v>28/04/1993</v>
      </c>
      <c r="E22" s="34" t="s">
        <v>189</v>
      </c>
      <c r="F22" s="34">
        <v>3.72</v>
      </c>
      <c r="G22" s="34">
        <v>87</v>
      </c>
      <c r="H22" s="34" t="s">
        <v>11</v>
      </c>
      <c r="I22" s="25">
        <v>770000</v>
      </c>
      <c r="J22" s="23">
        <f t="shared" si="0"/>
        <v>3850000</v>
      </c>
      <c r="K22" s="13"/>
    </row>
    <row r="23" spans="1:11" s="7" customFormat="1" ht="18" customHeight="1">
      <c r="A23" s="16">
        <v>17</v>
      </c>
      <c r="B23" s="32" t="str">
        <f>RIGHT("a11050098",LEN("a11050098")-1)</f>
        <v>11050098</v>
      </c>
      <c r="C23" s="33" t="s">
        <v>193</v>
      </c>
      <c r="D23" s="32" t="str">
        <f>RIGHT("a17/11/1993",LEN("a17/11/1993")-1)</f>
        <v>17/11/1993</v>
      </c>
      <c r="E23" s="34" t="s">
        <v>189</v>
      </c>
      <c r="F23" s="34">
        <v>3.68</v>
      </c>
      <c r="G23" s="34">
        <v>97</v>
      </c>
      <c r="H23" s="34" t="s">
        <v>12</v>
      </c>
      <c r="I23" s="25">
        <v>970000</v>
      </c>
      <c r="J23" s="23">
        <f t="shared" si="0"/>
        <v>4850000</v>
      </c>
      <c r="K23" s="13"/>
    </row>
    <row r="24" spans="1:11" s="7" customFormat="1" ht="18" customHeight="1">
      <c r="A24" s="16">
        <v>18</v>
      </c>
      <c r="B24" s="32" t="str">
        <f>RIGHT("a11050427",LEN("a11050427")-1)</f>
        <v>11050427</v>
      </c>
      <c r="C24" s="33" t="s">
        <v>194</v>
      </c>
      <c r="D24" s="32" t="str">
        <f>RIGHT("a13/12/1993",LEN("a13/12/1993")-1)</f>
        <v>13/12/1993</v>
      </c>
      <c r="E24" s="34" t="s">
        <v>189</v>
      </c>
      <c r="F24" s="34">
        <v>3.68</v>
      </c>
      <c r="G24" s="34">
        <v>97</v>
      </c>
      <c r="H24" s="34" t="s">
        <v>12</v>
      </c>
      <c r="I24" s="25">
        <v>970000</v>
      </c>
      <c r="J24" s="23">
        <f t="shared" si="0"/>
        <v>4850000</v>
      </c>
      <c r="K24" s="13"/>
    </row>
    <row r="25" spans="1:11" s="7" customFormat="1" ht="18" customHeight="1">
      <c r="A25" s="16">
        <v>19</v>
      </c>
      <c r="B25" s="46" t="str">
        <f>RIGHT("a11050095",LEN("a11050095")-1)</f>
        <v>11050095</v>
      </c>
      <c r="C25" s="47" t="s">
        <v>195</v>
      </c>
      <c r="D25" s="46" t="str">
        <f>RIGHT("a12/09/1993",LEN("a12/09/1993")-1)</f>
        <v>12/09/1993</v>
      </c>
      <c r="E25" s="48" t="s">
        <v>189</v>
      </c>
      <c r="F25" s="48">
        <v>3.68</v>
      </c>
      <c r="G25" s="48">
        <v>87</v>
      </c>
      <c r="H25" s="48" t="s">
        <v>11</v>
      </c>
      <c r="I25" s="25">
        <v>770000</v>
      </c>
      <c r="J25" s="23">
        <f t="shared" si="0"/>
        <v>3850000</v>
      </c>
      <c r="K25" s="13"/>
    </row>
    <row r="26" spans="1:11" s="54" customFormat="1" ht="18" customHeight="1">
      <c r="A26" s="16">
        <v>20</v>
      </c>
      <c r="B26" s="55" t="str">
        <f>RIGHT("a12050323",LEN("a12050323")-1)</f>
        <v>12050323</v>
      </c>
      <c r="C26" s="56" t="s">
        <v>180</v>
      </c>
      <c r="D26" s="55" t="str">
        <f>RIGHT("a08/07/1994",LEN("a08/07/1994")-1)</f>
        <v>08/07/1994</v>
      </c>
      <c r="E26" s="57" t="s">
        <v>181</v>
      </c>
      <c r="F26" s="58">
        <v>3.78</v>
      </c>
      <c r="G26" s="58">
        <v>90</v>
      </c>
      <c r="H26" s="58" t="s">
        <v>12</v>
      </c>
      <c r="I26" s="60">
        <v>970000</v>
      </c>
      <c r="J26" s="61">
        <f t="shared" si="0"/>
        <v>4850000</v>
      </c>
      <c r="K26" s="62"/>
    </row>
    <row r="27" spans="1:11" s="54" customFormat="1" ht="18" customHeight="1">
      <c r="A27" s="16">
        <v>21</v>
      </c>
      <c r="B27" s="55" t="str">
        <f>RIGHT("a12050281",LEN("a12050281")-1)</f>
        <v>12050281</v>
      </c>
      <c r="C27" s="56" t="s">
        <v>182</v>
      </c>
      <c r="D27" s="55" t="str">
        <f>RIGHT("a16/06/1994",LEN("a16/06/1994")-1)</f>
        <v>16/06/1994</v>
      </c>
      <c r="E27" s="57" t="s">
        <v>181</v>
      </c>
      <c r="F27" s="58">
        <v>3.72</v>
      </c>
      <c r="G27" s="58">
        <v>93</v>
      </c>
      <c r="H27" s="58" t="s">
        <v>12</v>
      </c>
      <c r="I27" s="60">
        <v>970000</v>
      </c>
      <c r="J27" s="61">
        <f t="shared" si="0"/>
        <v>4850000</v>
      </c>
      <c r="K27" s="62"/>
    </row>
    <row r="28" spans="1:11" s="54" customFormat="1" ht="18" customHeight="1">
      <c r="A28" s="16">
        <v>22</v>
      </c>
      <c r="B28" s="55" t="str">
        <f>RIGHT("a12050232",LEN("a12050232")-1)</f>
        <v>12050232</v>
      </c>
      <c r="C28" s="56" t="s">
        <v>183</v>
      </c>
      <c r="D28" s="55" t="str">
        <f>RIGHT("a22/07/1994",LEN("a22/07/1994")-1)</f>
        <v>22/07/1994</v>
      </c>
      <c r="E28" s="57" t="s">
        <v>181</v>
      </c>
      <c r="F28" s="58">
        <v>3.52</v>
      </c>
      <c r="G28" s="58">
        <v>92</v>
      </c>
      <c r="H28" s="58" t="s">
        <v>11</v>
      </c>
      <c r="I28" s="60">
        <v>770000</v>
      </c>
      <c r="J28" s="61">
        <f t="shared" si="0"/>
        <v>3850000</v>
      </c>
      <c r="K28" s="62"/>
    </row>
    <row r="29" spans="1:11" s="54" customFormat="1" ht="18" customHeight="1">
      <c r="A29" s="16">
        <v>23</v>
      </c>
      <c r="B29" s="55">
        <v>12050159</v>
      </c>
      <c r="C29" s="56" t="s">
        <v>110</v>
      </c>
      <c r="D29" s="59">
        <v>34521</v>
      </c>
      <c r="E29" s="57" t="s">
        <v>181</v>
      </c>
      <c r="F29" s="58">
        <v>3.42</v>
      </c>
      <c r="G29" s="58">
        <v>93</v>
      </c>
      <c r="H29" s="58" t="s">
        <v>11</v>
      </c>
      <c r="I29" s="60">
        <v>770000</v>
      </c>
      <c r="J29" s="61">
        <f t="shared" si="0"/>
        <v>3850000</v>
      </c>
      <c r="K29" s="62"/>
    </row>
    <row r="30" spans="1:11" s="54" customFormat="1" ht="18" customHeight="1">
      <c r="A30" s="16">
        <v>24</v>
      </c>
      <c r="B30" s="55" t="str">
        <f>RIGHT("a12050324",LEN("a12050324")-1)</f>
        <v>12050324</v>
      </c>
      <c r="C30" s="56" t="s">
        <v>184</v>
      </c>
      <c r="D30" s="55" t="str">
        <f>RIGHT("a06/02/1994",LEN("a06/02/1994")-1)</f>
        <v>06/02/1994</v>
      </c>
      <c r="E30" s="57" t="s">
        <v>181</v>
      </c>
      <c r="F30" s="58">
        <v>3.42</v>
      </c>
      <c r="G30" s="58">
        <v>90</v>
      </c>
      <c r="H30" s="58" t="s">
        <v>11</v>
      </c>
      <c r="I30" s="60">
        <v>770000</v>
      </c>
      <c r="J30" s="61">
        <f t="shared" si="0"/>
        <v>3850000</v>
      </c>
      <c r="K30" s="62"/>
    </row>
    <row r="31" spans="1:11" s="54" customFormat="1" ht="18" customHeight="1">
      <c r="A31" s="16">
        <v>25</v>
      </c>
      <c r="B31" s="55" t="str">
        <f>RIGHT("a12050335",LEN("a12050335")-1)</f>
        <v>12050335</v>
      </c>
      <c r="C31" s="56" t="s">
        <v>185</v>
      </c>
      <c r="D31" s="55" t="str">
        <f>RIGHT("a06/05/1994",LEN("a06/05/1994")-1)</f>
        <v>06/05/1994</v>
      </c>
      <c r="E31" s="57" t="s">
        <v>181</v>
      </c>
      <c r="F31" s="58">
        <v>3.25</v>
      </c>
      <c r="G31" s="58">
        <v>83</v>
      </c>
      <c r="H31" s="58" t="s">
        <v>11</v>
      </c>
      <c r="I31" s="60">
        <v>770000</v>
      </c>
      <c r="J31" s="61">
        <f t="shared" si="0"/>
        <v>3850000</v>
      </c>
      <c r="K31" s="62"/>
    </row>
    <row r="32" spans="1:11" s="54" customFormat="1" ht="18" customHeight="1">
      <c r="A32" s="16">
        <v>26</v>
      </c>
      <c r="B32" s="55" t="str">
        <f>RIGHT("a12050590",LEN("a12050590")-1)</f>
        <v>12050590</v>
      </c>
      <c r="C32" s="56" t="s">
        <v>186</v>
      </c>
      <c r="D32" s="55" t="str">
        <f>RIGHT("a18/12/1994",LEN("a18/12/1994")-1)</f>
        <v>18/12/1994</v>
      </c>
      <c r="E32" s="57" t="s">
        <v>181</v>
      </c>
      <c r="F32" s="58">
        <v>3.25</v>
      </c>
      <c r="G32" s="58">
        <v>80</v>
      </c>
      <c r="H32" s="58" t="s">
        <v>11</v>
      </c>
      <c r="I32" s="60">
        <v>770000</v>
      </c>
      <c r="J32" s="61">
        <f>I32*5</f>
        <v>3850000</v>
      </c>
      <c r="K32" s="62"/>
    </row>
    <row r="33" spans="1:11" s="54" customFormat="1" ht="18" customHeight="1">
      <c r="A33" s="16">
        <v>27</v>
      </c>
      <c r="B33" s="55" t="str">
        <f>RIGHT("a12050276",LEN("a12050276")-1)</f>
        <v>12050276</v>
      </c>
      <c r="C33" s="56" t="s">
        <v>187</v>
      </c>
      <c r="D33" s="55" t="str">
        <f>RIGHT("a23/01/1994",LEN("a23/01/1994")-1)</f>
        <v>23/01/1994</v>
      </c>
      <c r="E33" s="57" t="s">
        <v>181</v>
      </c>
      <c r="F33" s="58">
        <v>3.24</v>
      </c>
      <c r="G33" s="58">
        <v>83</v>
      </c>
      <c r="H33" s="58" t="s">
        <v>11</v>
      </c>
      <c r="I33" s="60">
        <v>770000</v>
      </c>
      <c r="J33" s="61">
        <f>I33*5</f>
        <v>3850000</v>
      </c>
      <c r="K33" s="62"/>
    </row>
    <row r="34" spans="1:11" s="54" customFormat="1" ht="18" customHeight="1">
      <c r="A34" s="16">
        <v>28</v>
      </c>
      <c r="B34" s="55" t="str">
        <f>RIGHT("a12050277",LEN("a12050277")-1)</f>
        <v>12050277</v>
      </c>
      <c r="C34" s="56" t="s">
        <v>205</v>
      </c>
      <c r="D34" s="55" t="str">
        <f>RIGHT("a24/11/1993",LEN("a24/11/1993")-1)</f>
        <v>24/11/1993</v>
      </c>
      <c r="E34" s="57" t="s">
        <v>181</v>
      </c>
      <c r="F34" s="58">
        <v>3.21</v>
      </c>
      <c r="G34" s="58">
        <v>96</v>
      </c>
      <c r="H34" s="58" t="s">
        <v>11</v>
      </c>
      <c r="I34" s="60">
        <v>770000</v>
      </c>
      <c r="J34" s="61">
        <f>I34*5</f>
        <v>3850000</v>
      </c>
      <c r="K34" s="62"/>
    </row>
    <row r="35" spans="1:11" ht="23.25" customHeight="1">
      <c r="A35" s="49"/>
      <c r="B35" s="20" t="s">
        <v>7</v>
      </c>
      <c r="C35" s="49"/>
      <c r="D35" s="49"/>
      <c r="E35" s="49"/>
      <c r="F35" s="50"/>
      <c r="G35" s="49"/>
      <c r="H35" s="49"/>
      <c r="I35" s="51"/>
      <c r="J35" s="52">
        <f>SUM(J7:J34)</f>
        <v>117800000</v>
      </c>
      <c r="K35" s="10"/>
    </row>
    <row r="36" spans="2:4" ht="15.75">
      <c r="B36" s="11" t="s">
        <v>206</v>
      </c>
      <c r="C36" s="1"/>
      <c r="D36" s="1"/>
    </row>
    <row r="37" spans="2:4" ht="15.75">
      <c r="B37" s="11"/>
      <c r="C37" s="1"/>
      <c r="D37" s="1"/>
    </row>
    <row r="38" spans="2:4" ht="15.75">
      <c r="B38" s="11"/>
      <c r="C38" s="1"/>
      <c r="D38" s="1"/>
    </row>
    <row r="39" spans="2:4" ht="15.75">
      <c r="B39" s="11"/>
      <c r="C39" s="1"/>
      <c r="D39" s="1"/>
    </row>
    <row r="40" spans="2:4" ht="15.75">
      <c r="B40" s="11"/>
      <c r="C40" s="1"/>
      <c r="D40" s="1"/>
    </row>
    <row r="41" spans="2:4" ht="15.75">
      <c r="B41" s="11"/>
      <c r="C41" s="1"/>
      <c r="D41" s="1"/>
    </row>
    <row r="42" spans="2:4" ht="15.75">
      <c r="B42" s="11"/>
      <c r="C42" s="1"/>
      <c r="D42" s="1"/>
    </row>
    <row r="43" spans="2:4" ht="15.75">
      <c r="B43" s="11"/>
      <c r="C43" s="1"/>
      <c r="D43" s="1"/>
    </row>
    <row r="44" spans="2:4" ht="15.75">
      <c r="B44" s="11"/>
      <c r="C44" s="1"/>
      <c r="D44" s="1"/>
    </row>
    <row r="45" spans="2:4" ht="15.75">
      <c r="B45" s="11"/>
      <c r="C45" s="1"/>
      <c r="D45" s="1"/>
    </row>
    <row r="46" spans="2:4" ht="15.75">
      <c r="B46" s="11"/>
      <c r="C46" s="1"/>
      <c r="D46" s="1"/>
    </row>
    <row r="47" spans="2:4" ht="15.75">
      <c r="B47" s="11"/>
      <c r="C47" s="1"/>
      <c r="D47" s="1"/>
    </row>
    <row r="48" spans="2:4" ht="15.75">
      <c r="B48" s="11"/>
      <c r="C48" s="1"/>
      <c r="D48" s="1"/>
    </row>
    <row r="49" spans="2:4" ht="15.75">
      <c r="B49" s="11"/>
      <c r="C49" s="1"/>
      <c r="D49" s="1"/>
    </row>
    <row r="50" spans="2:4" ht="15.75">
      <c r="B50" s="11"/>
      <c r="C50" s="1"/>
      <c r="D50" s="1"/>
    </row>
    <row r="51" spans="2:4" ht="15.75">
      <c r="B51" s="11"/>
      <c r="C51" s="1"/>
      <c r="D51" s="1"/>
    </row>
    <row r="52" spans="2:4" ht="15.75">
      <c r="B52" s="11"/>
      <c r="C52" s="1"/>
      <c r="D52" s="1"/>
    </row>
    <row r="53" spans="2:4" ht="15.75">
      <c r="B53" s="11"/>
      <c r="C53" s="1"/>
      <c r="D53" s="1"/>
    </row>
    <row r="54" spans="2:4" ht="15.75">
      <c r="B54" s="11"/>
      <c r="C54" s="1"/>
      <c r="D54" s="1"/>
    </row>
    <row r="55" spans="2:4" ht="15.75">
      <c r="B55" s="11"/>
      <c r="C55" s="1"/>
      <c r="D55" s="1"/>
    </row>
    <row r="56" spans="2:4" ht="15.75">
      <c r="B56" s="11"/>
      <c r="C56" s="1"/>
      <c r="D56" s="1"/>
    </row>
    <row r="57" spans="2:4" ht="15.75">
      <c r="B57" s="11"/>
      <c r="C57" s="1"/>
      <c r="D57" s="1"/>
    </row>
    <row r="58" spans="2:4" ht="15.75">
      <c r="B58" s="11"/>
      <c r="C58" s="1"/>
      <c r="D58" s="1"/>
    </row>
    <row r="59" spans="2:4" ht="15.75">
      <c r="B59" s="11"/>
      <c r="C59" s="1"/>
      <c r="D59" s="1"/>
    </row>
    <row r="60" spans="2:4" ht="15.75">
      <c r="B60" s="11"/>
      <c r="C60" s="1"/>
      <c r="D60" s="1"/>
    </row>
    <row r="61" spans="2:4" ht="15.75">
      <c r="B61" s="11"/>
      <c r="C61" s="1"/>
      <c r="D61" s="1"/>
    </row>
    <row r="62" spans="2:4" ht="15.75">
      <c r="B62" s="11"/>
      <c r="C62" s="1"/>
      <c r="D62" s="1"/>
    </row>
    <row r="63" spans="2:4" ht="15.75">
      <c r="B63" s="11"/>
      <c r="C63" s="1"/>
      <c r="D63" s="1"/>
    </row>
    <row r="64" spans="2:4" ht="15.75">
      <c r="B64" s="11"/>
      <c r="C64" s="1"/>
      <c r="D64" s="1"/>
    </row>
    <row r="65" spans="2:4" ht="15.75">
      <c r="B65" s="11"/>
      <c r="C65" s="1"/>
      <c r="D65" s="1"/>
    </row>
    <row r="66" spans="2:4" ht="15.75">
      <c r="B66" s="1"/>
      <c r="C66" s="2"/>
      <c r="D66" s="2"/>
    </row>
  </sheetData>
  <sheetProtection/>
  <autoFilter ref="A6:I36"/>
  <mergeCells count="14">
    <mergeCell ref="F5:F6"/>
    <mergeCell ref="G5:G6"/>
    <mergeCell ref="K5:K6"/>
    <mergeCell ref="J5:J6"/>
    <mergeCell ref="A1:J1"/>
    <mergeCell ref="A2:J2"/>
    <mergeCell ref="A3:J3"/>
    <mergeCell ref="I5:I6"/>
    <mergeCell ref="D5:D6"/>
    <mergeCell ref="H5:H6"/>
    <mergeCell ref="A5:A6"/>
    <mergeCell ref="B5:B6"/>
    <mergeCell ref="C5:C6"/>
    <mergeCell ref="E5:E6"/>
  </mergeCells>
  <printOptions/>
  <pageMargins left="0.25" right="0.25" top="0" bottom="0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Triều Hoa</dc:creator>
  <cp:keywords/>
  <dc:description/>
  <cp:lastModifiedBy>User</cp:lastModifiedBy>
  <cp:lastPrinted>2013-05-27T07:27:40Z</cp:lastPrinted>
  <dcterms:created xsi:type="dcterms:W3CDTF">2010-04-16T02:43:46Z</dcterms:created>
  <dcterms:modified xsi:type="dcterms:W3CDTF">2013-06-29T07:42:10Z</dcterms:modified>
  <cp:category/>
  <cp:version/>
  <cp:contentType/>
  <cp:contentStatus/>
</cp:coreProperties>
</file>